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7.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taff\Home\FCA\mooreto\DocumentsRedir\Budget Project\"/>
    </mc:Choice>
  </mc:AlternateContent>
  <bookViews>
    <workbookView xWindow="0" yWindow="0" windowWidth="21570" windowHeight="7560" tabRatio="927" activeTab="4"/>
  </bookViews>
  <sheets>
    <sheet name="Aggregated expenditure (Core)" sheetId="4" r:id="rId1"/>
    <sheet name="Nominal per person (Core)" sheetId="5" r:id="rId2"/>
    <sheet name="Real (Core)" sheetId="7" r:id="rId3"/>
    <sheet name="Real per person (Core)" sheetId="9" r:id="rId4"/>
    <sheet name="Growth rate (Core)" sheetId="20" r:id="rId5"/>
    <sheet name="Super, edu and Welfare analysis" sheetId="16" r:id="rId6"/>
    <sheet name="Total crown" sheetId="12" r:id="rId7"/>
    <sheet name="Nominal per person (Total)" sheetId="13" r:id="rId8"/>
    <sheet name="Real (total)" sheetId="14" r:id="rId9"/>
    <sheet name="Real per person (Total)" sheetId="15" r:id="rId10"/>
    <sheet name="Growth rate (Total)" sheetId="11" r:id="rId11"/>
    <sheet name="Population" sheetId="2" r:id="rId12"/>
    <sheet name="Inflation" sheetId="8" r:id="rId13"/>
    <sheet name="NZ SUPER" sheetId="10" r:id="rId14"/>
    <sheet name="Core Crown Expenditure 93-16" sheetId="1" r:id="rId15"/>
    <sheet name="Education numbers" sheetId="19" r:id="rId16"/>
    <sheet name="Numbers on benefits" sheetId="17" r:id="rId17"/>
    <sheet name="Welfare Benefit Expenses 98-16" sheetId="18" r:id="rId18"/>
    <sheet name="Sheet1" sheetId="21" r:id="rId19"/>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20" l="1"/>
  <c r="B40" i="20"/>
  <c r="B41" i="20"/>
  <c r="B42" i="20"/>
  <c r="B43" i="20"/>
  <c r="B44" i="20"/>
  <c r="B45" i="20"/>
  <c r="B46" i="20"/>
  <c r="B47" i="20"/>
  <c r="B48" i="20"/>
  <c r="B39" i="20"/>
  <c r="E40" i="20" l="1"/>
  <c r="E41" i="20"/>
  <c r="E42" i="20"/>
  <c r="E43" i="20"/>
  <c r="E44" i="20"/>
  <c r="E45" i="20"/>
  <c r="E46" i="20"/>
  <c r="E47" i="20"/>
  <c r="E48" i="20"/>
  <c r="E39" i="20"/>
  <c r="O10" i="21"/>
  <c r="P10" i="21"/>
  <c r="Q10" i="21"/>
  <c r="R10" i="21"/>
  <c r="S10" i="21"/>
  <c r="O11" i="21"/>
  <c r="P11" i="21"/>
  <c r="Q11" i="21"/>
  <c r="R11" i="21"/>
  <c r="S11" i="21"/>
  <c r="O12" i="21"/>
  <c r="P12" i="21"/>
  <c r="Q12" i="21"/>
  <c r="R12" i="21"/>
  <c r="S12" i="21"/>
  <c r="O13" i="21"/>
  <c r="P13" i="21"/>
  <c r="Q13" i="21"/>
  <c r="R13" i="21"/>
  <c r="S13" i="21"/>
  <c r="O14" i="21"/>
  <c r="P14" i="21"/>
  <c r="Q14" i="21"/>
  <c r="R14" i="21"/>
  <c r="S14" i="21"/>
  <c r="O15" i="21"/>
  <c r="P15" i="21"/>
  <c r="Q15" i="21"/>
  <c r="R15" i="21"/>
  <c r="S15" i="21"/>
  <c r="O16" i="21"/>
  <c r="P16" i="21"/>
  <c r="Q16" i="21"/>
  <c r="R16" i="21"/>
  <c r="S16" i="21"/>
  <c r="O17" i="21"/>
  <c r="P17" i="21"/>
  <c r="Q17" i="21"/>
  <c r="R17" i="21"/>
  <c r="S17" i="21"/>
  <c r="O18" i="21"/>
  <c r="P18" i="21"/>
  <c r="Q18" i="21"/>
  <c r="R18" i="21"/>
  <c r="S18" i="21"/>
  <c r="O19" i="21"/>
  <c r="P19" i="21"/>
  <c r="Q19" i="21"/>
  <c r="R19" i="21"/>
  <c r="S19" i="21"/>
  <c r="O20" i="21"/>
  <c r="P20" i="21"/>
  <c r="Q20" i="21"/>
  <c r="R20" i="21"/>
  <c r="S20" i="21"/>
  <c r="O21" i="21"/>
  <c r="P21" i="21"/>
  <c r="Q21" i="21"/>
  <c r="R21" i="21"/>
  <c r="S21" i="21"/>
  <c r="O22" i="21"/>
  <c r="P22" i="21"/>
  <c r="Q22" i="21"/>
  <c r="R22" i="21"/>
  <c r="S22" i="21"/>
  <c r="O23" i="21"/>
  <c r="P23" i="21"/>
  <c r="Q23" i="21"/>
  <c r="R23" i="21"/>
  <c r="S23" i="21"/>
  <c r="O24" i="21"/>
  <c r="P24" i="21"/>
  <c r="Q24" i="21"/>
  <c r="R24" i="21"/>
  <c r="S24" i="21"/>
  <c r="P9" i="21"/>
  <c r="Q9" i="21"/>
  <c r="R9" i="21"/>
  <c r="S9" i="21"/>
  <c r="O9" i="21"/>
  <c r="AD21" i="1" l="1"/>
  <c r="AC21" i="1"/>
  <c r="AB21" i="1"/>
  <c r="AA21" i="1"/>
  <c r="Z21" i="1"/>
  <c r="AD20" i="1"/>
  <c r="AD12" i="4" s="1"/>
  <c r="AC20" i="1"/>
  <c r="AB20" i="1"/>
  <c r="AB12" i="4" s="1"/>
  <c r="AA20" i="1"/>
  <c r="Z20" i="1"/>
  <c r="AD19" i="1"/>
  <c r="AC19" i="1"/>
  <c r="AB19" i="1"/>
  <c r="AA19" i="1"/>
  <c r="Z19" i="1"/>
  <c r="AD18" i="1"/>
  <c r="AE18" i="1" s="1"/>
  <c r="AC18" i="1"/>
  <c r="AB18" i="1"/>
  <c r="AA18" i="1"/>
  <c r="Z18" i="1"/>
  <c r="AD17" i="1"/>
  <c r="AC17" i="1"/>
  <c r="AB17" i="1"/>
  <c r="AA17" i="1"/>
  <c r="Z17" i="1"/>
  <c r="AD16" i="1"/>
  <c r="AD11" i="4" s="1"/>
  <c r="AC16" i="1"/>
  <c r="AB16" i="1"/>
  <c r="AA16" i="1"/>
  <c r="AA11" i="4" s="1"/>
  <c r="Z16" i="1"/>
  <c r="Z11" i="4" s="1"/>
  <c r="AD15" i="1"/>
  <c r="AC15" i="1"/>
  <c r="AB15" i="1"/>
  <c r="AA15" i="1"/>
  <c r="Z15" i="1"/>
  <c r="AD14" i="1"/>
  <c r="AC14" i="1"/>
  <c r="AB14" i="1"/>
  <c r="AA14" i="1"/>
  <c r="Z14" i="1"/>
  <c r="AD13" i="1"/>
  <c r="AD10" i="4" s="1"/>
  <c r="AC13" i="1"/>
  <c r="AC10" i="4" s="1"/>
  <c r="AB13" i="1"/>
  <c r="AA13" i="1"/>
  <c r="Z13" i="1"/>
  <c r="AD12" i="1"/>
  <c r="AE12" i="1" s="1"/>
  <c r="AC12" i="1"/>
  <c r="AB12" i="1"/>
  <c r="AA12" i="1"/>
  <c r="Z12" i="1"/>
  <c r="AD11" i="1"/>
  <c r="AC11" i="1"/>
  <c r="AB11" i="1"/>
  <c r="AA11" i="1"/>
  <c r="Z11" i="1"/>
  <c r="AD10" i="1"/>
  <c r="AE10" i="1" s="1"/>
  <c r="AC10" i="1"/>
  <c r="AB10" i="1"/>
  <c r="AA10" i="1"/>
  <c r="Z10" i="1"/>
  <c r="AD9" i="1"/>
  <c r="AE9" i="1" s="1"/>
  <c r="AC9" i="1"/>
  <c r="AC8" i="4" s="1"/>
  <c r="AB9" i="1"/>
  <c r="AA9" i="1"/>
  <c r="AA8" i="4" s="1"/>
  <c r="Z9" i="1"/>
  <c r="AD8" i="1"/>
  <c r="AE8" i="1" s="1"/>
  <c r="AC8" i="1"/>
  <c r="AB8" i="1"/>
  <c r="AA8" i="1"/>
  <c r="Z8" i="1"/>
  <c r="AD7" i="1"/>
  <c r="AC7" i="1"/>
  <c r="AC7" i="4" s="1"/>
  <c r="AB7" i="1"/>
  <c r="AA7" i="1"/>
  <c r="AA7" i="4" s="1"/>
  <c r="Z7" i="1"/>
  <c r="AD6" i="1"/>
  <c r="AD6" i="4" s="1"/>
  <c r="AC6" i="1"/>
  <c r="AB6" i="1"/>
  <c r="AB6" i="4" s="1"/>
  <c r="AA6" i="1"/>
  <c r="Z6" i="1"/>
  <c r="D24" i="20"/>
  <c r="D22" i="20"/>
  <c r="AA32" i="9"/>
  <c r="D36" i="20"/>
  <c r="F36" i="20"/>
  <c r="D34" i="20"/>
  <c r="F34" i="20" s="1"/>
  <c r="C36" i="20"/>
  <c r="C35" i="20"/>
  <c r="E35" i="20" s="1"/>
  <c r="C34" i="20"/>
  <c r="E34" i="20" s="1"/>
  <c r="C33" i="20"/>
  <c r="E33" i="20" s="1"/>
  <c r="C32" i="20"/>
  <c r="E32" i="20" s="1"/>
  <c r="C31" i="20"/>
  <c r="E31" i="20" s="1"/>
  <c r="C30" i="20"/>
  <c r="E30" i="20" s="1"/>
  <c r="C29" i="20"/>
  <c r="C28" i="20"/>
  <c r="C27" i="20"/>
  <c r="E27" i="20"/>
  <c r="B36" i="20"/>
  <c r="E36" i="20" s="1"/>
  <c r="B35" i="20"/>
  <c r="B34" i="20"/>
  <c r="B33" i="20"/>
  <c r="B32" i="20"/>
  <c r="B31" i="20"/>
  <c r="B30" i="20"/>
  <c r="B29" i="20"/>
  <c r="E29" i="20" s="1"/>
  <c r="B28" i="20"/>
  <c r="B27" i="20"/>
  <c r="AE22" i="1"/>
  <c r="AE21" i="1"/>
  <c r="AE20" i="1"/>
  <c r="AE19" i="1"/>
  <c r="AE15" i="1"/>
  <c r="AE14" i="1"/>
  <c r="AE13" i="1"/>
  <c r="AE11" i="1"/>
  <c r="AE6" i="1"/>
  <c r="AE7" i="1"/>
  <c r="AE15" i="9"/>
  <c r="AE14" i="9"/>
  <c r="AE13" i="9"/>
  <c r="AE12" i="9"/>
  <c r="AE11" i="9"/>
  <c r="AE10" i="9"/>
  <c r="AE9" i="9"/>
  <c r="AE8" i="9"/>
  <c r="AE7" i="9"/>
  <c r="AE6" i="9"/>
  <c r="AD50" i="9"/>
  <c r="AD32" i="9"/>
  <c r="AC32" i="9"/>
  <c r="AC50" i="9"/>
  <c r="AB50" i="9"/>
  <c r="AB32" i="9"/>
  <c r="AA50" i="9"/>
  <c r="Z2" i="9"/>
  <c r="Z32" i="9"/>
  <c r="Z50" i="9"/>
  <c r="Z2" i="7"/>
  <c r="AA2" i="7"/>
  <c r="AB2" i="7"/>
  <c r="AC2" i="7"/>
  <c r="AD2" i="7"/>
  <c r="AD15" i="5"/>
  <c r="AD13" i="5"/>
  <c r="AC15" i="5"/>
  <c r="AC13" i="5"/>
  <c r="AB15" i="5"/>
  <c r="AB13" i="5"/>
  <c r="AA15" i="5"/>
  <c r="AA13" i="5"/>
  <c r="Z15" i="5"/>
  <c r="Z13" i="5"/>
  <c r="AD2" i="5"/>
  <c r="AC2" i="5"/>
  <c r="AB2" i="5"/>
  <c r="AA2" i="5"/>
  <c r="Z2" i="5"/>
  <c r="AD2" i="4"/>
  <c r="AC2" i="4"/>
  <c r="AB2" i="4"/>
  <c r="AA2" i="4"/>
  <c r="AD15" i="4"/>
  <c r="AD13" i="4"/>
  <c r="AD9" i="4"/>
  <c r="AD9" i="7" s="1"/>
  <c r="AD9" i="9" s="1"/>
  <c r="AD9" i="5"/>
  <c r="AD7" i="4"/>
  <c r="AD7" i="5"/>
  <c r="AC15" i="4"/>
  <c r="AC13" i="4"/>
  <c r="AC12" i="4"/>
  <c r="AC12" i="5"/>
  <c r="AC11" i="4"/>
  <c r="AC11" i="5"/>
  <c r="AC9" i="4"/>
  <c r="AC9" i="5" s="1"/>
  <c r="AC6" i="4"/>
  <c r="AC6" i="5"/>
  <c r="AB15" i="4"/>
  <c r="AB13" i="4"/>
  <c r="AB11" i="4"/>
  <c r="AB11" i="5"/>
  <c r="AB10" i="4"/>
  <c r="AB10" i="7" s="1"/>
  <c r="AB10" i="9" s="1"/>
  <c r="AB9" i="4"/>
  <c r="AB9" i="5" s="1"/>
  <c r="AB8" i="4"/>
  <c r="AB8" i="5"/>
  <c r="AB7" i="4"/>
  <c r="AB7" i="7" s="1"/>
  <c r="AB7" i="9" s="1"/>
  <c r="AA15" i="4"/>
  <c r="AA13" i="4"/>
  <c r="AA12" i="4"/>
  <c r="AA12" i="5" s="1"/>
  <c r="AA10" i="4"/>
  <c r="AA10" i="7" s="1"/>
  <c r="AA10" i="9" s="1"/>
  <c r="AA9" i="4"/>
  <c r="AA9" i="5" s="1"/>
  <c r="AA6" i="4"/>
  <c r="AA6" i="5"/>
  <c r="Z15" i="4"/>
  <c r="Z13" i="4"/>
  <c r="Z12" i="4"/>
  <c r="Z12" i="7" s="1"/>
  <c r="Z12" i="9" s="1"/>
  <c r="Z10" i="4"/>
  <c r="Z10" i="5" s="1"/>
  <c r="Z9" i="4"/>
  <c r="Z9" i="5" s="1"/>
  <c r="Z8" i="4"/>
  <c r="Z8" i="7" s="1"/>
  <c r="Z8" i="9" s="1"/>
  <c r="Z7" i="4"/>
  <c r="Z7" i="5"/>
  <c r="Z6" i="4"/>
  <c r="Z6" i="5" s="1"/>
  <c r="E28" i="20"/>
  <c r="AA2" i="9"/>
  <c r="AB2" i="9"/>
  <c r="AC2" i="9"/>
  <c r="AD2" i="9"/>
  <c r="AA3" i="8"/>
  <c r="AB3" i="8"/>
  <c r="AC3" i="8"/>
  <c r="AD3" i="8"/>
  <c r="AC1" i="8"/>
  <c r="AD1" i="8"/>
  <c r="AB1" i="8"/>
  <c r="AA6" i="7"/>
  <c r="AA6" i="9" s="1"/>
  <c r="AA37" i="9" s="1"/>
  <c r="AA54" i="9" s="1"/>
  <c r="AA15" i="7"/>
  <c r="AA15" i="9"/>
  <c r="AA13" i="7"/>
  <c r="AA13" i="9"/>
  <c r="AD13" i="7"/>
  <c r="AD13" i="9"/>
  <c r="AD15" i="7"/>
  <c r="AD15" i="9"/>
  <c r="AD7" i="7"/>
  <c r="AD7" i="9"/>
  <c r="AC12" i="7"/>
  <c r="AC12" i="9"/>
  <c r="AC43" i="9" s="1"/>
  <c r="AC60" i="9" s="1"/>
  <c r="AC13" i="7"/>
  <c r="AC13" i="9"/>
  <c r="AC15" i="7"/>
  <c r="AC15" i="9"/>
  <c r="AC11" i="7"/>
  <c r="AC11" i="9" s="1"/>
  <c r="AC6" i="7"/>
  <c r="AC6" i="9" s="1"/>
  <c r="AC9" i="7"/>
  <c r="AC9" i="9"/>
  <c r="AC40" i="9" s="1"/>
  <c r="AC57" i="9" s="1"/>
  <c r="AB15" i="7"/>
  <c r="AB15" i="9"/>
  <c r="AB13" i="7"/>
  <c r="AB13" i="9"/>
  <c r="AB8" i="7"/>
  <c r="AB8" i="9"/>
  <c r="AB39" i="9" s="1"/>
  <c r="AB56" i="9" s="1"/>
  <c r="AB11" i="7"/>
  <c r="AB11" i="9"/>
  <c r="D1" i="8"/>
  <c r="E1" i="8"/>
  <c r="F1" i="8"/>
  <c r="G1" i="8"/>
  <c r="H1" i="8"/>
  <c r="I1" i="8"/>
  <c r="J1" i="8"/>
  <c r="K1" i="8"/>
  <c r="L1" i="8"/>
  <c r="M1" i="8"/>
  <c r="N1" i="8"/>
  <c r="O1" i="8"/>
  <c r="P1" i="8"/>
  <c r="Q1" i="8"/>
  <c r="R1" i="8"/>
  <c r="S1" i="8"/>
  <c r="T1" i="8"/>
  <c r="U1" i="8"/>
  <c r="V1" i="8"/>
  <c r="W1" i="8"/>
  <c r="X1" i="8"/>
  <c r="Y1" i="8"/>
  <c r="C1" i="8"/>
  <c r="L12" i="20"/>
  <c r="AB46" i="9"/>
  <c r="AB63" i="9"/>
  <c r="N12" i="20"/>
  <c r="AD46" i="9"/>
  <c r="AB42" i="9"/>
  <c r="AB59" i="9" s="1"/>
  <c r="AA44" i="9"/>
  <c r="AA61" i="9"/>
  <c r="AA46" i="9"/>
  <c r="AA63" i="9"/>
  <c r="M10" i="20"/>
  <c r="AC44" i="9"/>
  <c r="AD44" i="9"/>
  <c r="N10" i="20"/>
  <c r="AB44" i="9"/>
  <c r="AB61" i="9"/>
  <c r="L10" i="20"/>
  <c r="M12" i="20"/>
  <c r="AC46" i="9"/>
  <c r="AC63" i="9"/>
  <c r="D1" i="2"/>
  <c r="E1" i="2"/>
  <c r="F1" i="2"/>
  <c r="G1" i="2"/>
  <c r="H1" i="2"/>
  <c r="I1" i="2"/>
  <c r="J1" i="2"/>
  <c r="K1" i="2"/>
  <c r="L1" i="2"/>
  <c r="M1" i="2"/>
  <c r="N1" i="2"/>
  <c r="O1" i="2"/>
  <c r="P1" i="2"/>
  <c r="Q1" i="2"/>
  <c r="R1" i="2"/>
  <c r="S1" i="2"/>
  <c r="T1" i="2"/>
  <c r="U1" i="2"/>
  <c r="V1" i="2"/>
  <c r="W1" i="2"/>
  <c r="X1" i="2"/>
  <c r="Y1" i="2"/>
  <c r="Z1" i="2"/>
  <c r="AA1" i="2"/>
  <c r="C1" i="2"/>
  <c r="AC61" i="9"/>
  <c r="AD63" i="9"/>
  <c r="E24" i="20"/>
  <c r="H24" i="20"/>
  <c r="E22" i="20"/>
  <c r="H22" i="20"/>
  <c r="AD61" i="9"/>
  <c r="T38" i="19"/>
  <c r="D37" i="19"/>
  <c r="E37" i="19"/>
  <c r="F37" i="19"/>
  <c r="G37" i="19"/>
  <c r="H37" i="19"/>
  <c r="I37" i="19"/>
  <c r="J37" i="19"/>
  <c r="K37" i="19"/>
  <c r="L37" i="19"/>
  <c r="M37" i="19"/>
  <c r="N37" i="19"/>
  <c r="O37" i="19"/>
  <c r="P37" i="19"/>
  <c r="Q37" i="19"/>
  <c r="R37" i="19"/>
  <c r="S37" i="19"/>
  <c r="D38" i="19"/>
  <c r="E38" i="19"/>
  <c r="F38" i="19"/>
  <c r="G38" i="19"/>
  <c r="H38" i="19"/>
  <c r="I38" i="19"/>
  <c r="J38" i="19"/>
  <c r="K38" i="19"/>
  <c r="L38" i="19"/>
  <c r="M38" i="19"/>
  <c r="N38" i="19"/>
  <c r="O38" i="19"/>
  <c r="P38" i="19"/>
  <c r="Q38" i="19"/>
  <c r="R38" i="19"/>
  <c r="S38" i="19"/>
  <c r="C37" i="19"/>
  <c r="C38" i="19"/>
  <c r="I17" i="16"/>
  <c r="J17" i="16"/>
  <c r="I18" i="16"/>
  <c r="J18" i="16"/>
  <c r="I19" i="16"/>
  <c r="J19" i="16"/>
  <c r="I20" i="16"/>
  <c r="J20" i="16"/>
  <c r="H19" i="16"/>
  <c r="H20" i="16"/>
  <c r="H18" i="16"/>
  <c r="H17" i="16"/>
  <c r="C19" i="16"/>
  <c r="D19" i="16"/>
  <c r="C21" i="16"/>
  <c r="C32" i="16"/>
  <c r="D21" i="16"/>
  <c r="D32" i="16"/>
  <c r="C22" i="16"/>
  <c r="C33" i="16"/>
  <c r="D22" i="16"/>
  <c r="D33" i="16"/>
  <c r="B22" i="16"/>
  <c r="B33" i="16"/>
  <c r="B21" i="16"/>
  <c r="B32" i="16"/>
  <c r="C20" i="16"/>
  <c r="C31" i="16"/>
  <c r="D20" i="16"/>
  <c r="D31" i="16"/>
  <c r="B20" i="16"/>
  <c r="B31" i="16"/>
  <c r="B12" i="17"/>
  <c r="C12" i="17"/>
  <c r="D12" i="17"/>
  <c r="E12" i="17"/>
  <c r="F12" i="17"/>
  <c r="B13" i="17"/>
  <c r="C13" i="17"/>
  <c r="D13" i="17"/>
  <c r="E13" i="17"/>
  <c r="F13" i="17"/>
  <c r="B14" i="17"/>
  <c r="C14" i="17"/>
  <c r="D14" i="17"/>
  <c r="E14" i="17"/>
  <c r="F14" i="17"/>
  <c r="B15" i="17"/>
  <c r="C15" i="17"/>
  <c r="D15" i="17"/>
  <c r="E15" i="17"/>
  <c r="F15" i="17"/>
  <c r="D10" i="17"/>
  <c r="C10" i="17"/>
  <c r="F11" i="17"/>
  <c r="E11" i="17"/>
  <c r="D11" i="17"/>
  <c r="C11" i="17"/>
  <c r="B11" i="17"/>
  <c r="S2" i="16"/>
  <c r="T2" i="16"/>
  <c r="U2" i="16"/>
  <c r="V2" i="16"/>
  <c r="W2" i="16"/>
  <c r="X2" i="16"/>
  <c r="Y2" i="16"/>
  <c r="C2" i="16"/>
  <c r="D2" i="16"/>
  <c r="E2" i="16"/>
  <c r="F2" i="16"/>
  <c r="G2" i="16"/>
  <c r="H2" i="16"/>
  <c r="I2" i="16"/>
  <c r="J2" i="16"/>
  <c r="K2" i="16"/>
  <c r="L2" i="16"/>
  <c r="M2" i="16"/>
  <c r="N2" i="16"/>
  <c r="O2" i="16"/>
  <c r="P2" i="16"/>
  <c r="Q2" i="16"/>
  <c r="R2" i="16"/>
  <c r="B2" i="16"/>
  <c r="AD3" i="2"/>
  <c r="AF3" i="2"/>
  <c r="AH3" i="2"/>
  <c r="AE3" i="2"/>
  <c r="AG3" i="2"/>
  <c r="AC3" i="2"/>
  <c r="A4" i="11"/>
  <c r="A5" i="11"/>
  <c r="A6" i="11"/>
  <c r="A3" i="11"/>
  <c r="A38" i="15"/>
  <c r="A37" i="15"/>
  <c r="S9" i="15"/>
  <c r="S39" i="15"/>
  <c r="A9" i="15"/>
  <c r="A39" i="15"/>
  <c r="S8" i="15"/>
  <c r="S40" i="15"/>
  <c r="A8" i="15"/>
  <c r="A40" i="15"/>
  <c r="S7" i="15"/>
  <c r="S38" i="15"/>
  <c r="A7" i="15"/>
  <c r="S6" i="15"/>
  <c r="S37" i="15"/>
  <c r="A6" i="15"/>
  <c r="C7" i="12"/>
  <c r="D7" i="12"/>
  <c r="E7" i="12"/>
  <c r="F7" i="12"/>
  <c r="G7" i="12"/>
  <c r="H7" i="12"/>
  <c r="I7" i="12"/>
  <c r="J7" i="12"/>
  <c r="K7" i="12"/>
  <c r="L7" i="12"/>
  <c r="M7" i="12"/>
  <c r="N7" i="12"/>
  <c r="O7" i="12"/>
  <c r="B7" i="12"/>
  <c r="C2" i="14"/>
  <c r="D2" i="14"/>
  <c r="E2" i="14"/>
  <c r="F2" i="14"/>
  <c r="G2" i="14"/>
  <c r="H2" i="14"/>
  <c r="I2" i="14"/>
  <c r="J2" i="14"/>
  <c r="K2" i="14"/>
  <c r="L2" i="14"/>
  <c r="M2" i="14"/>
  <c r="N2" i="14"/>
  <c r="O2" i="14"/>
  <c r="P2" i="14"/>
  <c r="Q2" i="14"/>
  <c r="R2" i="14"/>
  <c r="B2" i="14"/>
  <c r="S6" i="13"/>
  <c r="S37" i="13"/>
  <c r="S7" i="13"/>
  <c r="S38" i="13"/>
  <c r="S8" i="13"/>
  <c r="S10" i="13"/>
  <c r="S9" i="13"/>
  <c r="S39" i="13"/>
  <c r="R9" i="13"/>
  <c r="Q9" i="13"/>
  <c r="Q39" i="13"/>
  <c r="P9" i="13"/>
  <c r="P39" i="13"/>
  <c r="O9" i="13"/>
  <c r="O39" i="13"/>
  <c r="N9" i="13"/>
  <c r="M9" i="13"/>
  <c r="M39" i="13"/>
  <c r="L9" i="13"/>
  <c r="L39" i="13"/>
  <c r="K9" i="13"/>
  <c r="K39" i="13"/>
  <c r="J9" i="13"/>
  <c r="J39" i="13"/>
  <c r="I9" i="13"/>
  <c r="H9" i="13"/>
  <c r="G9" i="13"/>
  <c r="G39" i="13"/>
  <c r="F9" i="13"/>
  <c r="E9" i="13"/>
  <c r="D9" i="13"/>
  <c r="D39" i="13"/>
  <c r="C9" i="13"/>
  <c r="C39" i="13"/>
  <c r="R8" i="13"/>
  <c r="R10" i="13"/>
  <c r="Q8" i="13"/>
  <c r="Q40" i="13"/>
  <c r="P8" i="13"/>
  <c r="P40" i="13"/>
  <c r="O8" i="13"/>
  <c r="O10" i="13"/>
  <c r="N8" i="13"/>
  <c r="N10" i="13"/>
  <c r="M8" i="13"/>
  <c r="M10" i="13"/>
  <c r="L8" i="13"/>
  <c r="L10" i="13"/>
  <c r="K8" i="13"/>
  <c r="K40" i="13"/>
  <c r="J8" i="13"/>
  <c r="J10" i="13"/>
  <c r="I8" i="13"/>
  <c r="I40" i="13"/>
  <c r="H8" i="13"/>
  <c r="H40" i="13"/>
  <c r="G8" i="13"/>
  <c r="G10" i="13"/>
  <c r="F8" i="13"/>
  <c r="F10" i="13"/>
  <c r="E8" i="13"/>
  <c r="E10" i="13"/>
  <c r="D8" i="13"/>
  <c r="D10" i="13"/>
  <c r="C8" i="13"/>
  <c r="C40" i="13"/>
  <c r="R7" i="13"/>
  <c r="R38" i="13"/>
  <c r="Q7" i="13"/>
  <c r="P7" i="13"/>
  <c r="P38" i="13"/>
  <c r="O7" i="13"/>
  <c r="O38" i="13"/>
  <c r="N7" i="13"/>
  <c r="M7" i="13"/>
  <c r="M38" i="13"/>
  <c r="L7" i="13"/>
  <c r="K7" i="13"/>
  <c r="K38" i="13"/>
  <c r="J7" i="13"/>
  <c r="J38" i="13"/>
  <c r="I7" i="13"/>
  <c r="I38" i="13"/>
  <c r="H7" i="13"/>
  <c r="H38" i="13"/>
  <c r="G7" i="13"/>
  <c r="G38" i="13"/>
  <c r="F7" i="13"/>
  <c r="E7" i="13"/>
  <c r="E38" i="13"/>
  <c r="D7" i="13"/>
  <c r="D38" i="13"/>
  <c r="C7" i="13"/>
  <c r="R6" i="13"/>
  <c r="Q6" i="13"/>
  <c r="Q37" i="13"/>
  <c r="P6" i="13"/>
  <c r="P37" i="13"/>
  <c r="O6" i="13"/>
  <c r="O37" i="13"/>
  <c r="N6" i="13"/>
  <c r="N37" i="13"/>
  <c r="M6" i="13"/>
  <c r="M37" i="13"/>
  <c r="L6" i="13"/>
  <c r="L37" i="13"/>
  <c r="K6" i="13"/>
  <c r="K37" i="13"/>
  <c r="J6" i="13"/>
  <c r="J37" i="13"/>
  <c r="I6" i="13"/>
  <c r="I37" i="13"/>
  <c r="H6" i="13"/>
  <c r="G6" i="13"/>
  <c r="G37" i="13"/>
  <c r="F6" i="13"/>
  <c r="F37" i="13"/>
  <c r="E6" i="13"/>
  <c r="E37" i="13"/>
  <c r="D6" i="13"/>
  <c r="D37" i="13"/>
  <c r="C6" i="13"/>
  <c r="C37" i="13"/>
  <c r="B9" i="13"/>
  <c r="B39" i="13"/>
  <c r="B8" i="13"/>
  <c r="B40" i="13"/>
  <c r="B7" i="13"/>
  <c r="B38" i="13"/>
  <c r="B6" i="13"/>
  <c r="B37" i="13"/>
  <c r="A7" i="13"/>
  <c r="A38" i="13"/>
  <c r="A8" i="13"/>
  <c r="A40" i="13"/>
  <c r="A9" i="13"/>
  <c r="A39" i="13"/>
  <c r="A6" i="13"/>
  <c r="A37" i="13"/>
  <c r="R39" i="13"/>
  <c r="H39" i="13"/>
  <c r="L38" i="13"/>
  <c r="N39" i="13"/>
  <c r="I39" i="13"/>
  <c r="F39" i="13"/>
  <c r="E39" i="13"/>
  <c r="R40" i="13"/>
  <c r="N40" i="13"/>
  <c r="L40" i="13"/>
  <c r="J40" i="13"/>
  <c r="G40" i="13"/>
  <c r="F40" i="13"/>
  <c r="E40" i="13"/>
  <c r="D40" i="13"/>
  <c r="Q38" i="13"/>
  <c r="N38" i="13"/>
  <c r="F38" i="13"/>
  <c r="C38" i="13"/>
  <c r="R37" i="13"/>
  <c r="H37" i="13"/>
  <c r="R4" i="12"/>
  <c r="Q4" i="12"/>
  <c r="P4" i="12"/>
  <c r="O4" i="12"/>
  <c r="N4" i="12"/>
  <c r="M4" i="12"/>
  <c r="L4" i="12"/>
  <c r="K4" i="12"/>
  <c r="J4" i="12"/>
  <c r="I4" i="12"/>
  <c r="H4" i="12"/>
  <c r="G4" i="12"/>
  <c r="F4" i="12"/>
  <c r="E4" i="12"/>
  <c r="D4" i="12"/>
  <c r="C4" i="12"/>
  <c r="B4" i="12"/>
  <c r="S40" i="13"/>
  <c r="P10" i="13"/>
  <c r="Q10" i="13"/>
  <c r="H10" i="13"/>
  <c r="I10" i="13"/>
  <c r="B26" i="16"/>
  <c r="B37" i="16"/>
  <c r="B27" i="16"/>
  <c r="B38" i="16"/>
  <c r="B10" i="13"/>
  <c r="M40" i="13"/>
  <c r="C10" i="13"/>
  <c r="K10" i="13"/>
  <c r="O40" i="13"/>
  <c r="S10" i="15"/>
  <c r="B13" i="4"/>
  <c r="C13" i="4"/>
  <c r="D13" i="4"/>
  <c r="E13" i="4"/>
  <c r="F13" i="4"/>
  <c r="E3" i="10"/>
  <c r="D3" i="10"/>
  <c r="C3" i="10"/>
  <c r="B3" i="10"/>
  <c r="F3" i="10"/>
  <c r="B1" i="10"/>
  <c r="C1" i="10"/>
  <c r="E1" i="10"/>
  <c r="D1" i="10"/>
  <c r="F1" i="10"/>
  <c r="C2" i="11"/>
  <c r="D2" i="11"/>
  <c r="E2" i="11"/>
  <c r="F2" i="11"/>
  <c r="G2" i="11"/>
  <c r="H2" i="11"/>
  <c r="I2" i="11"/>
  <c r="J2" i="11"/>
  <c r="K2" i="11"/>
  <c r="L2" i="11"/>
  <c r="M2" i="11"/>
  <c r="N2" i="11"/>
  <c r="Z27" i="9"/>
  <c r="AD27" i="9"/>
  <c r="A7" i="9"/>
  <c r="A8" i="9"/>
  <c r="A9" i="9"/>
  <c r="A10" i="9"/>
  <c r="A11" i="9"/>
  <c r="A12" i="9"/>
  <c r="A13" i="9"/>
  <c r="A14" i="9"/>
  <c r="A15" i="9"/>
  <c r="A7" i="7"/>
  <c r="A8" i="7"/>
  <c r="A9" i="7"/>
  <c r="A10" i="7"/>
  <c r="A11" i="7"/>
  <c r="A12" i="7"/>
  <c r="A13" i="7"/>
  <c r="A14" i="7"/>
  <c r="A15" i="7"/>
  <c r="A7" i="5"/>
  <c r="A38" i="5"/>
  <c r="A55" i="5"/>
  <c r="A8" i="5"/>
  <c r="A39" i="5"/>
  <c r="A56" i="5"/>
  <c r="A9" i="5"/>
  <c r="A40" i="5"/>
  <c r="A57" i="5"/>
  <c r="A10" i="5"/>
  <c r="A41" i="5"/>
  <c r="A58" i="5"/>
  <c r="A11" i="5"/>
  <c r="A42" i="5"/>
  <c r="A59" i="5"/>
  <c r="A12" i="5"/>
  <c r="A43" i="5"/>
  <c r="A60" i="5"/>
  <c r="A13" i="5"/>
  <c r="A44" i="5"/>
  <c r="A61" i="5"/>
  <c r="A14" i="5"/>
  <c r="A45" i="5"/>
  <c r="A62" i="5"/>
  <c r="A15" i="5"/>
  <c r="A46" i="5"/>
  <c r="A63" i="5"/>
  <c r="Y13" i="4"/>
  <c r="X13" i="4"/>
  <c r="W13" i="4"/>
  <c r="V13" i="4"/>
  <c r="U13" i="4"/>
  <c r="T13" i="4"/>
  <c r="S13" i="4"/>
  <c r="R13" i="4"/>
  <c r="Q13" i="4"/>
  <c r="P13" i="4"/>
  <c r="O13" i="4"/>
  <c r="N13" i="4"/>
  <c r="N12" i="4"/>
  <c r="M13" i="4"/>
  <c r="L13" i="4"/>
  <c r="K13" i="4"/>
  <c r="J13" i="4"/>
  <c r="J12" i="4"/>
  <c r="I13" i="4"/>
  <c r="H13" i="4"/>
  <c r="G13" i="4"/>
  <c r="Y6" i="4"/>
  <c r="X6" i="4"/>
  <c r="W6" i="4"/>
  <c r="W6" i="7"/>
  <c r="W6" i="9"/>
  <c r="V6" i="4"/>
  <c r="V6" i="7"/>
  <c r="V6" i="9"/>
  <c r="V37" i="9"/>
  <c r="U6" i="4"/>
  <c r="T6" i="4"/>
  <c r="S6" i="4"/>
  <c r="S6" i="7"/>
  <c r="S6" i="9"/>
  <c r="R6" i="4"/>
  <c r="R6" i="7"/>
  <c r="R6" i="9"/>
  <c r="Q6" i="4"/>
  <c r="P6" i="4"/>
  <c r="O6" i="4"/>
  <c r="O6" i="7"/>
  <c r="O6" i="9"/>
  <c r="O37" i="9"/>
  <c r="N6" i="4"/>
  <c r="N6" i="7"/>
  <c r="N6" i="9"/>
  <c r="N37" i="9"/>
  <c r="M6" i="4"/>
  <c r="L6" i="4"/>
  <c r="K6" i="4"/>
  <c r="K6" i="7"/>
  <c r="K6" i="9"/>
  <c r="K37" i="9"/>
  <c r="J6" i="4"/>
  <c r="J6" i="7"/>
  <c r="J6" i="9"/>
  <c r="J37" i="9"/>
  <c r="I6" i="4"/>
  <c r="H6" i="4"/>
  <c r="G6" i="4"/>
  <c r="G6" i="7"/>
  <c r="G6" i="9"/>
  <c r="G37" i="9"/>
  <c r="F6" i="4"/>
  <c r="F6" i="7"/>
  <c r="F6" i="9"/>
  <c r="F37" i="9"/>
  <c r="E6" i="4"/>
  <c r="D6" i="4"/>
  <c r="C6" i="4"/>
  <c r="C6" i="7"/>
  <c r="C6" i="9"/>
  <c r="C37" i="9"/>
  <c r="B6" i="4"/>
  <c r="B6" i="7"/>
  <c r="A6" i="4"/>
  <c r="A6" i="5"/>
  <c r="A37" i="5"/>
  <c r="A54" i="5"/>
  <c r="Z3" i="8"/>
  <c r="Y3" i="8"/>
  <c r="D25" i="16"/>
  <c r="D36" i="16"/>
  <c r="X3" i="8"/>
  <c r="C27" i="16"/>
  <c r="C38" i="16"/>
  <c r="W3" i="8"/>
  <c r="V3" i="8"/>
  <c r="U3" i="8"/>
  <c r="T3" i="8"/>
  <c r="S3" i="8"/>
  <c r="R3" i="8"/>
  <c r="Q3" i="8"/>
  <c r="P3" i="8"/>
  <c r="O3" i="8"/>
  <c r="N3" i="8"/>
  <c r="M3" i="8"/>
  <c r="L3" i="8"/>
  <c r="K3" i="8"/>
  <c r="J3" i="8"/>
  <c r="I3" i="8"/>
  <c r="H3" i="8"/>
  <c r="G3" i="8"/>
  <c r="F3" i="8"/>
  <c r="E3" i="8"/>
  <c r="D3" i="8"/>
  <c r="C3" i="8"/>
  <c r="B3" i="8"/>
  <c r="U7" i="4"/>
  <c r="V7" i="4"/>
  <c r="W7" i="4"/>
  <c r="W7" i="7"/>
  <c r="W7" i="9"/>
  <c r="X7" i="4"/>
  <c r="Y7" i="4"/>
  <c r="U8" i="4"/>
  <c r="U8" i="5"/>
  <c r="U39" i="5"/>
  <c r="V8" i="4"/>
  <c r="W8" i="4"/>
  <c r="X8" i="4"/>
  <c r="X8" i="5"/>
  <c r="X39" i="5"/>
  <c r="Y8" i="4"/>
  <c r="U9" i="4"/>
  <c r="V9" i="4"/>
  <c r="V9" i="7"/>
  <c r="V9" i="9"/>
  <c r="W9" i="4"/>
  <c r="X9" i="4"/>
  <c r="Y9" i="4"/>
  <c r="U10" i="4"/>
  <c r="V10" i="4"/>
  <c r="V10" i="7"/>
  <c r="V10" i="9"/>
  <c r="W10" i="4"/>
  <c r="W10" i="7"/>
  <c r="W10" i="9"/>
  <c r="X10" i="4"/>
  <c r="Y10" i="4"/>
  <c r="U11" i="4"/>
  <c r="V11" i="4"/>
  <c r="W11" i="4"/>
  <c r="X11" i="4"/>
  <c r="Y11" i="4"/>
  <c r="U15" i="4"/>
  <c r="U15" i="7"/>
  <c r="U15" i="9"/>
  <c r="V15" i="4"/>
  <c r="X15" i="4"/>
  <c r="Y15" i="4"/>
  <c r="Y15" i="7"/>
  <c r="Y15" i="9"/>
  <c r="W22" i="1"/>
  <c r="W15" i="4"/>
  <c r="T15" i="4"/>
  <c r="S15" i="4"/>
  <c r="R15" i="4"/>
  <c r="Q15" i="4"/>
  <c r="Q15" i="7"/>
  <c r="Q15" i="9"/>
  <c r="Q46" i="9"/>
  <c r="Q63" i="9"/>
  <c r="P15" i="4"/>
  <c r="O15" i="4"/>
  <c r="N15" i="4"/>
  <c r="M15" i="4"/>
  <c r="M15" i="7"/>
  <c r="M15" i="9"/>
  <c r="M46" i="9"/>
  <c r="M63" i="9"/>
  <c r="L15" i="4"/>
  <c r="K15" i="4"/>
  <c r="J15" i="4"/>
  <c r="I15" i="4"/>
  <c r="I15" i="7"/>
  <c r="I15" i="9"/>
  <c r="I46" i="9"/>
  <c r="I63" i="9"/>
  <c r="H15" i="4"/>
  <c r="G15" i="4"/>
  <c r="F15" i="4"/>
  <c r="E15" i="4"/>
  <c r="E15" i="7"/>
  <c r="E15" i="9"/>
  <c r="E46" i="9"/>
  <c r="E63" i="9"/>
  <c r="D15" i="4"/>
  <c r="C15" i="4"/>
  <c r="T11" i="4"/>
  <c r="S11" i="4"/>
  <c r="R11" i="4"/>
  <c r="Q11" i="4"/>
  <c r="P11" i="4"/>
  <c r="O11" i="4"/>
  <c r="N11" i="4"/>
  <c r="M11" i="4"/>
  <c r="L11" i="4"/>
  <c r="K11" i="4"/>
  <c r="J11" i="4"/>
  <c r="I11" i="4"/>
  <c r="H11" i="4"/>
  <c r="G11" i="4"/>
  <c r="F11" i="4"/>
  <c r="E11" i="4"/>
  <c r="D11" i="4"/>
  <c r="C11" i="4"/>
  <c r="C11" i="7"/>
  <c r="C11" i="9"/>
  <c r="C42" i="9"/>
  <c r="T10" i="4"/>
  <c r="S10" i="4"/>
  <c r="S10" i="7"/>
  <c r="S10" i="9"/>
  <c r="S41" i="9"/>
  <c r="R10" i="4"/>
  <c r="R10" i="7"/>
  <c r="R10" i="9"/>
  <c r="Q10" i="4"/>
  <c r="P10" i="4"/>
  <c r="O10" i="4"/>
  <c r="O10" i="7"/>
  <c r="O10" i="9"/>
  <c r="O41" i="9"/>
  <c r="N10" i="4"/>
  <c r="N10" i="7"/>
  <c r="N10" i="9"/>
  <c r="N41" i="9"/>
  <c r="M10" i="4"/>
  <c r="L10" i="4"/>
  <c r="K10" i="4"/>
  <c r="K10" i="7"/>
  <c r="K10" i="9"/>
  <c r="K41" i="9"/>
  <c r="J10" i="4"/>
  <c r="J10" i="7"/>
  <c r="J10" i="9"/>
  <c r="J41" i="9"/>
  <c r="I10" i="4"/>
  <c r="H10" i="4"/>
  <c r="G10" i="4"/>
  <c r="G10" i="7"/>
  <c r="G10" i="9"/>
  <c r="G41" i="9"/>
  <c r="F10" i="4"/>
  <c r="F10" i="7"/>
  <c r="F10" i="9"/>
  <c r="F41" i="9"/>
  <c r="E10" i="4"/>
  <c r="D10" i="4"/>
  <c r="C10" i="4"/>
  <c r="C10" i="7"/>
  <c r="C10" i="9"/>
  <c r="C41" i="9"/>
  <c r="T9" i="4"/>
  <c r="S9" i="4"/>
  <c r="R9" i="4"/>
  <c r="R9" i="7"/>
  <c r="R9" i="9"/>
  <c r="Q9" i="4"/>
  <c r="P9" i="4"/>
  <c r="O9" i="4"/>
  <c r="N9" i="4"/>
  <c r="N9" i="7"/>
  <c r="N9" i="9"/>
  <c r="N40" i="9"/>
  <c r="M9" i="4"/>
  <c r="L9" i="4"/>
  <c r="K9" i="4"/>
  <c r="J9" i="4"/>
  <c r="J9" i="7"/>
  <c r="J9" i="9"/>
  <c r="J40" i="9"/>
  <c r="I9" i="4"/>
  <c r="H9" i="4"/>
  <c r="G9" i="4"/>
  <c r="F9" i="4"/>
  <c r="F9" i="7"/>
  <c r="F9" i="9"/>
  <c r="F40" i="9"/>
  <c r="E9" i="4"/>
  <c r="D9" i="4"/>
  <c r="C9" i="4"/>
  <c r="T8" i="4"/>
  <c r="T8" i="5"/>
  <c r="T39" i="5"/>
  <c r="S8" i="4"/>
  <c r="R8" i="4"/>
  <c r="Q8" i="4"/>
  <c r="P8" i="4"/>
  <c r="P8" i="5"/>
  <c r="P39" i="5"/>
  <c r="O8" i="4"/>
  <c r="N8" i="4"/>
  <c r="M8" i="4"/>
  <c r="L8" i="4"/>
  <c r="L8" i="5"/>
  <c r="L39" i="5"/>
  <c r="K8" i="4"/>
  <c r="J8" i="4"/>
  <c r="I8" i="4"/>
  <c r="H8" i="4"/>
  <c r="H8" i="5"/>
  <c r="H39" i="5"/>
  <c r="G8" i="4"/>
  <c r="F8" i="4"/>
  <c r="E8" i="4"/>
  <c r="E8" i="7"/>
  <c r="E8" i="9"/>
  <c r="E39" i="9"/>
  <c r="D8" i="4"/>
  <c r="C8" i="4"/>
  <c r="T7" i="4"/>
  <c r="S7" i="4"/>
  <c r="S7" i="7"/>
  <c r="S7" i="9"/>
  <c r="R7" i="4"/>
  <c r="Q7" i="4"/>
  <c r="P7" i="4"/>
  <c r="O7" i="4"/>
  <c r="O7" i="7"/>
  <c r="O7" i="9"/>
  <c r="O38" i="9"/>
  <c r="N7" i="4"/>
  <c r="M7" i="4"/>
  <c r="L7" i="4"/>
  <c r="K7" i="4"/>
  <c r="K7" i="7"/>
  <c r="K7" i="9"/>
  <c r="K38" i="9"/>
  <c r="J7" i="4"/>
  <c r="I7" i="4"/>
  <c r="H7" i="4"/>
  <c r="G7" i="4"/>
  <c r="G7" i="7"/>
  <c r="G7" i="9"/>
  <c r="G38" i="9"/>
  <c r="F7" i="4"/>
  <c r="F7" i="7"/>
  <c r="F7" i="9"/>
  <c r="F38" i="9"/>
  <c r="E7" i="4"/>
  <c r="D7" i="4"/>
  <c r="C7" i="4"/>
  <c r="C7" i="7"/>
  <c r="C7" i="9"/>
  <c r="C38" i="9"/>
  <c r="B15" i="4"/>
  <c r="B15" i="7"/>
  <c r="B15" i="9"/>
  <c r="B46" i="9"/>
  <c r="B63" i="9"/>
  <c r="B11" i="4"/>
  <c r="B11" i="7"/>
  <c r="B11" i="9"/>
  <c r="B42" i="9"/>
  <c r="B10" i="4"/>
  <c r="B10" i="7"/>
  <c r="B10" i="9"/>
  <c r="B41" i="9"/>
  <c r="B9" i="4"/>
  <c r="B9" i="7"/>
  <c r="B9" i="9"/>
  <c r="B40" i="9"/>
  <c r="B7" i="4"/>
  <c r="B7" i="7"/>
  <c r="B7" i="9"/>
  <c r="B38" i="9"/>
  <c r="B8" i="4"/>
  <c r="B8" i="7"/>
  <c r="B8" i="9"/>
  <c r="B39" i="9"/>
  <c r="J6" i="14"/>
  <c r="J9" i="15"/>
  <c r="J39" i="15"/>
  <c r="J5" i="14"/>
  <c r="J8" i="15"/>
  <c r="J40" i="15"/>
  <c r="J3" i="14"/>
  <c r="J6" i="15"/>
  <c r="J37" i="15"/>
  <c r="J7" i="14"/>
  <c r="J10" i="15"/>
  <c r="J4" i="14"/>
  <c r="J7" i="15"/>
  <c r="J38" i="15"/>
  <c r="H7" i="7"/>
  <c r="H7" i="9"/>
  <c r="H38" i="9"/>
  <c r="P7" i="7"/>
  <c r="P7" i="9"/>
  <c r="P38" i="9"/>
  <c r="D11" i="7"/>
  <c r="D11" i="9"/>
  <c r="D42" i="9"/>
  <c r="H11" i="7"/>
  <c r="H11" i="9"/>
  <c r="H42" i="9"/>
  <c r="P11" i="7"/>
  <c r="P11" i="9"/>
  <c r="P42" i="9"/>
  <c r="K3" i="14"/>
  <c r="K6" i="15"/>
  <c r="K37" i="15"/>
  <c r="K7" i="14"/>
  <c r="K10" i="15"/>
  <c r="K6" i="14"/>
  <c r="K9" i="15"/>
  <c r="K39" i="15"/>
  <c r="K5" i="14"/>
  <c r="K8" i="15"/>
  <c r="K40" i="15"/>
  <c r="K4" i="14"/>
  <c r="K7" i="15"/>
  <c r="K38" i="15"/>
  <c r="F7" i="14"/>
  <c r="F10" i="15"/>
  <c r="F4" i="14"/>
  <c r="F7" i="15"/>
  <c r="F38" i="15"/>
  <c r="F3" i="14"/>
  <c r="F6" i="15"/>
  <c r="F37" i="15"/>
  <c r="F6" i="14"/>
  <c r="F9" i="15"/>
  <c r="F39" i="15"/>
  <c r="F5" i="14"/>
  <c r="F8" i="15"/>
  <c r="F40" i="15"/>
  <c r="R4" i="14"/>
  <c r="R7" i="15"/>
  <c r="R7" i="14"/>
  <c r="R10" i="15"/>
  <c r="R5" i="14"/>
  <c r="R8" i="15"/>
  <c r="R3" i="14"/>
  <c r="R6" i="15"/>
  <c r="R6" i="14"/>
  <c r="R9" i="15"/>
  <c r="L7" i="7"/>
  <c r="L7" i="9"/>
  <c r="L38" i="9"/>
  <c r="C3" i="14"/>
  <c r="C6" i="15"/>
  <c r="C37" i="15"/>
  <c r="C7" i="14"/>
  <c r="C10" i="15"/>
  <c r="C6" i="14"/>
  <c r="C9" i="15"/>
  <c r="C39" i="15"/>
  <c r="C5" i="14"/>
  <c r="C8" i="15"/>
  <c r="C40" i="15"/>
  <c r="C4" i="14"/>
  <c r="C7" i="15"/>
  <c r="C38" i="15"/>
  <c r="O3" i="14"/>
  <c r="O6" i="15"/>
  <c r="O7" i="14"/>
  <c r="O10" i="15"/>
  <c r="O6" i="14"/>
  <c r="O9" i="15"/>
  <c r="O5" i="14"/>
  <c r="O8" i="15"/>
  <c r="O4" i="14"/>
  <c r="O7" i="15"/>
  <c r="E9" i="7"/>
  <c r="E9" i="9"/>
  <c r="E40" i="9"/>
  <c r="I9" i="7"/>
  <c r="I9" i="9"/>
  <c r="I40" i="9"/>
  <c r="M9" i="7"/>
  <c r="M9" i="9"/>
  <c r="M40" i="9"/>
  <c r="Q9" i="7"/>
  <c r="Q9" i="9"/>
  <c r="Q40" i="9"/>
  <c r="X11" i="7"/>
  <c r="X11" i="9"/>
  <c r="X7" i="7"/>
  <c r="X7" i="9"/>
  <c r="X38" i="9"/>
  <c r="D3" i="14"/>
  <c r="D6" i="15"/>
  <c r="D37" i="15"/>
  <c r="D7" i="14"/>
  <c r="D10" i="15"/>
  <c r="D6" i="14"/>
  <c r="D9" i="15"/>
  <c r="D39" i="15"/>
  <c r="D5" i="14"/>
  <c r="D8" i="15"/>
  <c r="D40" i="15"/>
  <c r="D4" i="14"/>
  <c r="D7" i="15"/>
  <c r="D38" i="15"/>
  <c r="H3" i="14"/>
  <c r="H6" i="15"/>
  <c r="H37" i="15"/>
  <c r="H7" i="14"/>
  <c r="H10" i="15"/>
  <c r="H6" i="14"/>
  <c r="H9" i="15"/>
  <c r="H39" i="15"/>
  <c r="H5" i="14"/>
  <c r="H8" i="15"/>
  <c r="H40" i="15"/>
  <c r="H4" i="14"/>
  <c r="H7" i="15"/>
  <c r="H38" i="15"/>
  <c r="L3" i="14"/>
  <c r="L6" i="15"/>
  <c r="L7" i="14"/>
  <c r="L10" i="15"/>
  <c r="L6" i="14"/>
  <c r="L9" i="15"/>
  <c r="L5" i="14"/>
  <c r="L8" i="15"/>
  <c r="L4" i="14"/>
  <c r="L7" i="15"/>
  <c r="P3" i="14"/>
  <c r="P6" i="15"/>
  <c r="P7" i="14"/>
  <c r="P10" i="15"/>
  <c r="P6" i="14"/>
  <c r="P9" i="15"/>
  <c r="P5" i="14"/>
  <c r="P8" i="15"/>
  <c r="P4" i="14"/>
  <c r="P7" i="15"/>
  <c r="Z13" i="7"/>
  <c r="Z13" i="9"/>
  <c r="Z15" i="7"/>
  <c r="Z15" i="9"/>
  <c r="J12" i="20"/>
  <c r="O12" i="20" s="1"/>
  <c r="D48" i="20" s="1"/>
  <c r="Z7" i="7"/>
  <c r="Z7" i="9"/>
  <c r="J4" i="20" s="1"/>
  <c r="D6" i="7"/>
  <c r="D6" i="9"/>
  <c r="D37" i="9"/>
  <c r="D27" i="16"/>
  <c r="D38" i="16"/>
  <c r="D26" i="16"/>
  <c r="D37" i="16"/>
  <c r="B5" i="14"/>
  <c r="B8" i="15"/>
  <c r="B40" i="15"/>
  <c r="B4" i="14"/>
  <c r="B7" i="15"/>
  <c r="B38" i="15"/>
  <c r="B7" i="14"/>
  <c r="B10" i="15"/>
  <c r="B6" i="14"/>
  <c r="B9" i="15"/>
  <c r="B39" i="15"/>
  <c r="B3" i="14"/>
  <c r="B6" i="15"/>
  <c r="B37" i="15"/>
  <c r="N7" i="14"/>
  <c r="N10" i="15"/>
  <c r="N6" i="14"/>
  <c r="N9" i="15"/>
  <c r="N5" i="14"/>
  <c r="N8" i="15"/>
  <c r="N4" i="14"/>
  <c r="N7" i="15"/>
  <c r="N3" i="14"/>
  <c r="N6" i="15"/>
  <c r="D7" i="7"/>
  <c r="D7" i="9"/>
  <c r="D38" i="9"/>
  <c r="T7" i="7"/>
  <c r="T7" i="9"/>
  <c r="T38" i="9"/>
  <c r="L11" i="7"/>
  <c r="L11" i="9"/>
  <c r="L42" i="9"/>
  <c r="T11" i="7"/>
  <c r="T11" i="9"/>
  <c r="G3" i="14"/>
  <c r="G6" i="15"/>
  <c r="G37" i="15"/>
  <c r="G7" i="14"/>
  <c r="G10" i="15"/>
  <c r="G6" i="14"/>
  <c r="G9" i="15"/>
  <c r="G39" i="15"/>
  <c r="G5" i="14"/>
  <c r="G8" i="15"/>
  <c r="G40" i="15"/>
  <c r="G4" i="14"/>
  <c r="G7" i="15"/>
  <c r="G38" i="15"/>
  <c r="C25" i="16"/>
  <c r="C36" i="16"/>
  <c r="D8" i="7"/>
  <c r="D8" i="9"/>
  <c r="D39" i="9"/>
  <c r="Y9" i="7"/>
  <c r="Y9" i="9"/>
  <c r="U9" i="7"/>
  <c r="U9" i="9"/>
  <c r="F6" i="20"/>
  <c r="E7" i="14"/>
  <c r="E10" i="15"/>
  <c r="E6" i="14"/>
  <c r="E9" i="15"/>
  <c r="E39" i="15"/>
  <c r="E5" i="14"/>
  <c r="E8" i="15"/>
  <c r="E40" i="15"/>
  <c r="E4" i="14"/>
  <c r="E7" i="15"/>
  <c r="E38" i="15"/>
  <c r="E3" i="14"/>
  <c r="E6" i="15"/>
  <c r="E37" i="15"/>
  <c r="I7" i="14"/>
  <c r="I10" i="15"/>
  <c r="I6" i="14"/>
  <c r="I9" i="15"/>
  <c r="I39" i="15"/>
  <c r="I5" i="14"/>
  <c r="I8" i="15"/>
  <c r="I40" i="15"/>
  <c r="I4" i="14"/>
  <c r="I7" i="15"/>
  <c r="I38" i="15"/>
  <c r="I3" i="14"/>
  <c r="I6" i="15"/>
  <c r="I37" i="15"/>
  <c r="M7" i="14"/>
  <c r="M10" i="15"/>
  <c r="M6" i="14"/>
  <c r="M9" i="15"/>
  <c r="M5" i="14"/>
  <c r="M8" i="15"/>
  <c r="M4" i="14"/>
  <c r="M7" i="15"/>
  <c r="M3" i="14"/>
  <c r="M6" i="15"/>
  <c r="Q7" i="14"/>
  <c r="Q10" i="15"/>
  <c r="Q6" i="14"/>
  <c r="Q9" i="15"/>
  <c r="Q5" i="14"/>
  <c r="Q8" i="15"/>
  <c r="Q4" i="14"/>
  <c r="Q7" i="15"/>
  <c r="Q3" i="14"/>
  <c r="Q6" i="15"/>
  <c r="E6" i="7"/>
  <c r="E6" i="9"/>
  <c r="E37" i="9"/>
  <c r="I6" i="7"/>
  <c r="I6" i="9"/>
  <c r="I37" i="9"/>
  <c r="M6" i="7"/>
  <c r="M6" i="9"/>
  <c r="M37" i="9"/>
  <c r="Q6" i="7"/>
  <c r="Q6" i="9"/>
  <c r="Q37" i="9"/>
  <c r="U6" i="7"/>
  <c r="U6" i="9"/>
  <c r="F3" i="20"/>
  <c r="Y6" i="7"/>
  <c r="Y6" i="9"/>
  <c r="B25" i="16"/>
  <c r="B36" i="16"/>
  <c r="C26" i="16"/>
  <c r="C37" i="16"/>
  <c r="A44" i="9"/>
  <c r="A10" i="20"/>
  <c r="A46" i="20" s="1"/>
  <c r="A43" i="9"/>
  <c r="A60" i="9"/>
  <c r="A9" i="20"/>
  <c r="A45" i="20"/>
  <c r="Z23" i="9"/>
  <c r="A5" i="20"/>
  <c r="A41" i="20" s="1"/>
  <c r="Z24" i="9"/>
  <c r="AD24" i="9"/>
  <c r="A6" i="20"/>
  <c r="A42" i="20" s="1"/>
  <c r="A46" i="9"/>
  <c r="A12" i="20"/>
  <c r="A48" i="20"/>
  <c r="A42" i="9"/>
  <c r="A59" i="9"/>
  <c r="A8" i="20"/>
  <c r="A44" i="20"/>
  <c r="Z22" i="9"/>
  <c r="A4" i="20"/>
  <c r="A40" i="20"/>
  <c r="Z29" i="9"/>
  <c r="A11" i="20"/>
  <c r="A47" i="20" s="1"/>
  <c r="Z25" i="9"/>
  <c r="AD25" i="9"/>
  <c r="A7" i="20"/>
  <c r="A43" i="20"/>
  <c r="Z28" i="9"/>
  <c r="D10" i="7"/>
  <c r="D10" i="9"/>
  <c r="D41" i="9"/>
  <c r="D10" i="5"/>
  <c r="D41" i="5"/>
  <c r="H10" i="7"/>
  <c r="H10" i="9"/>
  <c r="H41" i="9"/>
  <c r="H10" i="5"/>
  <c r="H41" i="5"/>
  <c r="L10" i="7"/>
  <c r="L10" i="9"/>
  <c r="L41" i="9"/>
  <c r="L10" i="5"/>
  <c r="L41" i="5"/>
  <c r="P10" i="7"/>
  <c r="P10" i="9"/>
  <c r="P41" i="9"/>
  <c r="P10" i="5"/>
  <c r="P41" i="5"/>
  <c r="T10" i="7"/>
  <c r="T10" i="9"/>
  <c r="T10" i="5"/>
  <c r="T41" i="5"/>
  <c r="F11" i="7"/>
  <c r="F11" i="9"/>
  <c r="F42" i="9"/>
  <c r="F11" i="5"/>
  <c r="F42" i="5"/>
  <c r="J11" i="7"/>
  <c r="J11" i="9"/>
  <c r="J42" i="9"/>
  <c r="J11" i="5"/>
  <c r="J42" i="5"/>
  <c r="N11" i="7"/>
  <c r="N11" i="9"/>
  <c r="N42" i="9"/>
  <c r="N11" i="5"/>
  <c r="N42" i="5"/>
  <c r="R11" i="7"/>
  <c r="R11" i="9"/>
  <c r="R11" i="5"/>
  <c r="R42" i="5"/>
  <c r="D15" i="7"/>
  <c r="D15" i="9"/>
  <c r="D46" i="9"/>
  <c r="D63" i="9"/>
  <c r="D15" i="5"/>
  <c r="D46" i="5"/>
  <c r="D63" i="5"/>
  <c r="H15" i="7"/>
  <c r="H15" i="9"/>
  <c r="H46" i="9"/>
  <c r="H63" i="9"/>
  <c r="H15" i="5"/>
  <c r="H46" i="5"/>
  <c r="H63" i="5"/>
  <c r="L15" i="7"/>
  <c r="L15" i="9"/>
  <c r="L46" i="9"/>
  <c r="L63" i="9"/>
  <c r="L15" i="5"/>
  <c r="L46" i="5"/>
  <c r="L63" i="5"/>
  <c r="P15" i="7"/>
  <c r="P15" i="9"/>
  <c r="P46" i="9"/>
  <c r="P63" i="9"/>
  <c r="P15" i="5"/>
  <c r="P46" i="5"/>
  <c r="P63" i="5"/>
  <c r="T15" i="7"/>
  <c r="T15" i="9"/>
  <c r="T15" i="5"/>
  <c r="T46" i="5"/>
  <c r="T63" i="5"/>
  <c r="W15" i="7"/>
  <c r="W15" i="9"/>
  <c r="W46" i="9"/>
  <c r="W63" i="9"/>
  <c r="W15" i="5"/>
  <c r="W46" i="5"/>
  <c r="W63" i="5"/>
  <c r="Y10" i="7"/>
  <c r="Y10" i="9"/>
  <c r="Y10" i="5"/>
  <c r="Y41" i="5"/>
  <c r="U10" i="7"/>
  <c r="U10" i="9"/>
  <c r="U10" i="5"/>
  <c r="U41" i="5"/>
  <c r="W8" i="7"/>
  <c r="W8" i="9"/>
  <c r="Q42" i="16"/>
  <c r="Q43" i="16"/>
  <c r="W8" i="5"/>
  <c r="W39" i="5"/>
  <c r="J12" i="7"/>
  <c r="J12" i="9"/>
  <c r="J43" i="9"/>
  <c r="J13" i="7"/>
  <c r="J13" i="9"/>
  <c r="J44" i="9"/>
  <c r="J3" i="16"/>
  <c r="N13" i="7"/>
  <c r="N13" i="9"/>
  <c r="N44" i="9"/>
  <c r="N3" i="16"/>
  <c r="R13" i="7"/>
  <c r="R13" i="9"/>
  <c r="R44" i="9"/>
  <c r="B22" i="20"/>
  <c r="F22" i="20" s="1"/>
  <c r="R3" i="16"/>
  <c r="V13" i="7"/>
  <c r="V13" i="9"/>
  <c r="V44" i="9"/>
  <c r="V3" i="16"/>
  <c r="B11" i="5"/>
  <c r="B42" i="5"/>
  <c r="B7" i="5"/>
  <c r="B38" i="5"/>
  <c r="F6" i="5"/>
  <c r="F37" i="5"/>
  <c r="K6" i="5"/>
  <c r="K37" i="5"/>
  <c r="Q6" i="5"/>
  <c r="Q37" i="5"/>
  <c r="V6" i="5"/>
  <c r="V37" i="5"/>
  <c r="D7" i="5"/>
  <c r="D38" i="5"/>
  <c r="K7" i="5"/>
  <c r="K38" i="5"/>
  <c r="S7" i="5"/>
  <c r="S38" i="5"/>
  <c r="D8" i="5"/>
  <c r="D39" i="5"/>
  <c r="E9" i="5"/>
  <c r="E40" i="5"/>
  <c r="M9" i="5"/>
  <c r="M40" i="5"/>
  <c r="U9" i="5"/>
  <c r="U40" i="5"/>
  <c r="F10" i="5"/>
  <c r="F41" i="5"/>
  <c r="N10" i="5"/>
  <c r="N41" i="5"/>
  <c r="V10" i="5"/>
  <c r="V41" i="5"/>
  <c r="H11" i="5"/>
  <c r="H42" i="5"/>
  <c r="X11" i="5"/>
  <c r="X42" i="5"/>
  <c r="Q15" i="5"/>
  <c r="Q46" i="5"/>
  <c r="Q63" i="5"/>
  <c r="J7" i="7"/>
  <c r="J7" i="9"/>
  <c r="J38" i="9"/>
  <c r="J7" i="5"/>
  <c r="J38" i="5"/>
  <c r="R7" i="7"/>
  <c r="R7" i="9"/>
  <c r="R7" i="5"/>
  <c r="R38" i="5"/>
  <c r="I8" i="7"/>
  <c r="I8" i="9"/>
  <c r="I39" i="9"/>
  <c r="I56" i="9"/>
  <c r="C42" i="16"/>
  <c r="C43" i="16"/>
  <c r="M8" i="7"/>
  <c r="M8" i="9"/>
  <c r="M39" i="9"/>
  <c r="G42" i="16"/>
  <c r="G43" i="16"/>
  <c r="Q8" i="7"/>
  <c r="Q8" i="9"/>
  <c r="Q39" i="9"/>
  <c r="Q56" i="9"/>
  <c r="K42" i="16"/>
  <c r="K43" i="16"/>
  <c r="C9" i="7"/>
  <c r="C9" i="9"/>
  <c r="C40" i="9"/>
  <c r="C9" i="5"/>
  <c r="C40" i="5"/>
  <c r="G9" i="7"/>
  <c r="G9" i="9"/>
  <c r="G40" i="9"/>
  <c r="G9" i="5"/>
  <c r="G40" i="5"/>
  <c r="K9" i="7"/>
  <c r="K9" i="9"/>
  <c r="K40" i="9"/>
  <c r="K9" i="5"/>
  <c r="K40" i="5"/>
  <c r="O9" i="7"/>
  <c r="O9" i="9"/>
  <c r="O40" i="9"/>
  <c r="O9" i="5"/>
  <c r="O40" i="5"/>
  <c r="S9" i="7"/>
  <c r="S9" i="9"/>
  <c r="C6" i="20"/>
  <c r="S9" i="5"/>
  <c r="S40" i="5"/>
  <c r="E10" i="7"/>
  <c r="E10" i="9"/>
  <c r="E41" i="9"/>
  <c r="E58" i="9"/>
  <c r="E10" i="5"/>
  <c r="E41" i="5"/>
  <c r="I10" i="7"/>
  <c r="I10" i="9"/>
  <c r="I41" i="9"/>
  <c r="I10" i="5"/>
  <c r="I41" i="5"/>
  <c r="M10" i="7"/>
  <c r="M10" i="9"/>
  <c r="M41" i="9"/>
  <c r="M58" i="9"/>
  <c r="M10" i="5"/>
  <c r="M41" i="5"/>
  <c r="Q10" i="7"/>
  <c r="Q10" i="9"/>
  <c r="Q41" i="9"/>
  <c r="Q10" i="5"/>
  <c r="Q41" i="5"/>
  <c r="Q58" i="5"/>
  <c r="G11" i="7"/>
  <c r="G11" i="9"/>
  <c r="G42" i="9"/>
  <c r="G11" i="5"/>
  <c r="G42" i="5"/>
  <c r="K11" i="7"/>
  <c r="K11" i="9"/>
  <c r="K42" i="9"/>
  <c r="K11" i="5"/>
  <c r="K42" i="5"/>
  <c r="O11" i="7"/>
  <c r="O11" i="9"/>
  <c r="O42" i="9"/>
  <c r="O11" i="5"/>
  <c r="O42" i="5"/>
  <c r="S11" i="7"/>
  <c r="S11" i="9"/>
  <c r="S11" i="5"/>
  <c r="S42" i="5"/>
  <c r="V15" i="7"/>
  <c r="V15" i="9"/>
  <c r="F12" i="20"/>
  <c r="V15" i="5"/>
  <c r="V46" i="5"/>
  <c r="V63" i="5"/>
  <c r="W11" i="7"/>
  <c r="W11" i="9"/>
  <c r="H8" i="20"/>
  <c r="W11" i="5"/>
  <c r="W42" i="5"/>
  <c r="X10" i="7"/>
  <c r="X10" i="9"/>
  <c r="X41" i="9"/>
  <c r="X10" i="5"/>
  <c r="X41" i="5"/>
  <c r="V8" i="7"/>
  <c r="V8" i="9"/>
  <c r="P42" i="16"/>
  <c r="P43" i="16"/>
  <c r="V8" i="5"/>
  <c r="V39" i="5"/>
  <c r="V56" i="5"/>
  <c r="H6" i="7"/>
  <c r="H6" i="9"/>
  <c r="H37" i="9"/>
  <c r="H54" i="9"/>
  <c r="H6" i="5"/>
  <c r="H37" i="5"/>
  <c r="L6" i="7"/>
  <c r="L6" i="9"/>
  <c r="L37" i="9"/>
  <c r="L6" i="5"/>
  <c r="L37" i="5"/>
  <c r="L54" i="5"/>
  <c r="P6" i="7"/>
  <c r="P6" i="9"/>
  <c r="P37" i="9"/>
  <c r="P54" i="9"/>
  <c r="P6" i="5"/>
  <c r="P37" i="5"/>
  <c r="T6" i="7"/>
  <c r="T6" i="9"/>
  <c r="T37" i="9"/>
  <c r="T6" i="5"/>
  <c r="T37" i="5"/>
  <c r="T54" i="5"/>
  <c r="X6" i="7"/>
  <c r="X6" i="9"/>
  <c r="H3" i="20"/>
  <c r="X6" i="5"/>
  <c r="X37" i="5"/>
  <c r="N12" i="5"/>
  <c r="N43" i="5"/>
  <c r="N12" i="7"/>
  <c r="N12" i="9"/>
  <c r="N43" i="9"/>
  <c r="K13" i="7"/>
  <c r="K13" i="9"/>
  <c r="K44" i="9"/>
  <c r="K3" i="16"/>
  <c r="O12" i="4"/>
  <c r="O12" i="7"/>
  <c r="O12" i="9"/>
  <c r="O43" i="9"/>
  <c r="O13" i="7"/>
  <c r="O13" i="9"/>
  <c r="O44" i="9"/>
  <c r="O3" i="16"/>
  <c r="S13" i="7"/>
  <c r="S13" i="9"/>
  <c r="S3" i="16"/>
  <c r="W12" i="4"/>
  <c r="W12" i="7"/>
  <c r="W12" i="9"/>
  <c r="W13" i="7"/>
  <c r="W13" i="9"/>
  <c r="W3" i="16"/>
  <c r="B10" i="5"/>
  <c r="B41" i="5"/>
  <c r="C6" i="5"/>
  <c r="C37" i="5"/>
  <c r="G6" i="5"/>
  <c r="G37" i="5"/>
  <c r="M6" i="5"/>
  <c r="M37" i="5"/>
  <c r="R6" i="5"/>
  <c r="R37" i="5"/>
  <c r="W6" i="5"/>
  <c r="W37" i="5"/>
  <c r="F7" i="5"/>
  <c r="F38" i="5"/>
  <c r="L7" i="5"/>
  <c r="L38" i="5"/>
  <c r="T7" i="5"/>
  <c r="T38" i="5"/>
  <c r="T55" i="5"/>
  <c r="E8" i="5"/>
  <c r="E39" i="5"/>
  <c r="M8" i="5"/>
  <c r="M39" i="5"/>
  <c r="F9" i="5"/>
  <c r="F40" i="5"/>
  <c r="N9" i="5"/>
  <c r="N40" i="5"/>
  <c r="V9" i="5"/>
  <c r="V40" i="5"/>
  <c r="V57" i="5"/>
  <c r="G10" i="5"/>
  <c r="G41" i="5"/>
  <c r="O10" i="5"/>
  <c r="O41" i="5"/>
  <c r="W10" i="5"/>
  <c r="W41" i="5"/>
  <c r="L11" i="5"/>
  <c r="L42" i="5"/>
  <c r="L59" i="5"/>
  <c r="E15" i="5"/>
  <c r="E46" i="5"/>
  <c r="E63" i="5"/>
  <c r="U15" i="5"/>
  <c r="U46" i="5"/>
  <c r="U63" i="5"/>
  <c r="N7" i="7"/>
  <c r="N7" i="9"/>
  <c r="N38" i="9"/>
  <c r="N7" i="5"/>
  <c r="N38" i="5"/>
  <c r="B58" i="9"/>
  <c r="J8" i="7"/>
  <c r="J8" i="9"/>
  <c r="J39" i="9"/>
  <c r="D42" i="16"/>
  <c r="D43" i="16"/>
  <c r="J8" i="5"/>
  <c r="J39" i="5"/>
  <c r="F15" i="7"/>
  <c r="F15" i="9"/>
  <c r="F46" i="9"/>
  <c r="F63" i="9"/>
  <c r="F15" i="5"/>
  <c r="F46" i="5"/>
  <c r="F63" i="5"/>
  <c r="J15" i="7"/>
  <c r="J15" i="9"/>
  <c r="J46" i="9"/>
  <c r="J63" i="9"/>
  <c r="J15" i="5"/>
  <c r="J46" i="5"/>
  <c r="J63" i="5"/>
  <c r="N15" i="7"/>
  <c r="N15" i="9"/>
  <c r="N46" i="9"/>
  <c r="N63" i="9"/>
  <c r="N15" i="5"/>
  <c r="N46" i="5"/>
  <c r="N63" i="5"/>
  <c r="R15" i="7"/>
  <c r="R15" i="9"/>
  <c r="R12" i="20"/>
  <c r="R15" i="5"/>
  <c r="R46" i="5"/>
  <c r="R63" i="5"/>
  <c r="V11" i="7"/>
  <c r="V11" i="9"/>
  <c r="V11" i="5"/>
  <c r="V42" i="5"/>
  <c r="V59" i="5"/>
  <c r="X9" i="7"/>
  <c r="X9" i="9"/>
  <c r="X40" i="9"/>
  <c r="X9" i="5"/>
  <c r="X40" i="5"/>
  <c r="Y8" i="7"/>
  <c r="Y8" i="9"/>
  <c r="S42" i="16"/>
  <c r="S43" i="16"/>
  <c r="U8" i="7"/>
  <c r="U8" i="9"/>
  <c r="U39" i="9"/>
  <c r="O42" i="16"/>
  <c r="O43" i="16"/>
  <c r="V7" i="7"/>
  <c r="V7" i="9"/>
  <c r="V38" i="9"/>
  <c r="V7" i="5"/>
  <c r="V38" i="5"/>
  <c r="A6" i="9"/>
  <c r="AD21" i="9"/>
  <c r="A6" i="7"/>
  <c r="H12" i="4"/>
  <c r="H13" i="7"/>
  <c r="H13" i="9"/>
  <c r="H44" i="9"/>
  <c r="H3" i="16"/>
  <c r="L12" i="4"/>
  <c r="L14" i="4"/>
  <c r="L14" i="7"/>
  <c r="L13" i="7"/>
  <c r="L13" i="9"/>
  <c r="L44" i="9"/>
  <c r="L3" i="16"/>
  <c r="P12" i="4"/>
  <c r="P14" i="4"/>
  <c r="P14" i="7"/>
  <c r="P13" i="7"/>
  <c r="P13" i="9"/>
  <c r="P44" i="9"/>
  <c r="P3" i="16"/>
  <c r="T12" i="4"/>
  <c r="T14" i="4"/>
  <c r="T14" i="7"/>
  <c r="T13" i="7"/>
  <c r="T13" i="9"/>
  <c r="T3" i="16"/>
  <c r="X12" i="4"/>
  <c r="X14" i="4"/>
  <c r="X14" i="7"/>
  <c r="X13" i="7"/>
  <c r="X13" i="9"/>
  <c r="X3" i="16"/>
  <c r="B6" i="5"/>
  <c r="B37" i="5"/>
  <c r="B9" i="5"/>
  <c r="B40" i="5"/>
  <c r="D6" i="5"/>
  <c r="D37" i="5"/>
  <c r="D54" i="5"/>
  <c r="I6" i="5"/>
  <c r="I37" i="5"/>
  <c r="N6" i="5"/>
  <c r="N37" i="5"/>
  <c r="S6" i="5"/>
  <c r="S37" i="5"/>
  <c r="Y6" i="5"/>
  <c r="Y37" i="5"/>
  <c r="G7" i="5"/>
  <c r="G38" i="5"/>
  <c r="O7" i="5"/>
  <c r="O38" i="5"/>
  <c r="W7" i="5"/>
  <c r="W38" i="5"/>
  <c r="I9" i="5"/>
  <c r="I40" i="5"/>
  <c r="Q9" i="5"/>
  <c r="Q40" i="5"/>
  <c r="Y9" i="5"/>
  <c r="Y40" i="5"/>
  <c r="J10" i="5"/>
  <c r="J41" i="5"/>
  <c r="R10" i="5"/>
  <c r="R41" i="5"/>
  <c r="C11" i="5"/>
  <c r="C42" i="5"/>
  <c r="P11" i="5"/>
  <c r="P42" i="5"/>
  <c r="I15" i="5"/>
  <c r="I46" i="5"/>
  <c r="I63" i="5"/>
  <c r="Y15" i="5"/>
  <c r="Y46" i="5"/>
  <c r="Y63" i="5"/>
  <c r="H8" i="7"/>
  <c r="H8" i="9"/>
  <c r="H39" i="9"/>
  <c r="H56" i="9"/>
  <c r="B42" i="16"/>
  <c r="B43" i="16"/>
  <c r="L8" i="7"/>
  <c r="L8" i="9"/>
  <c r="L39" i="9"/>
  <c r="F42" i="16"/>
  <c r="F43" i="16"/>
  <c r="P8" i="7"/>
  <c r="P8" i="9"/>
  <c r="P39" i="9"/>
  <c r="P56" i="9"/>
  <c r="J42" i="16"/>
  <c r="J43" i="16"/>
  <c r="T8" i="7"/>
  <c r="T8" i="9"/>
  <c r="N42" i="16"/>
  <c r="N43" i="16"/>
  <c r="F8" i="7"/>
  <c r="F8" i="9"/>
  <c r="F39" i="9"/>
  <c r="F8" i="5"/>
  <c r="F39" i="5"/>
  <c r="N8" i="7"/>
  <c r="N8" i="9"/>
  <c r="N39" i="9"/>
  <c r="N56" i="9"/>
  <c r="H42" i="16"/>
  <c r="H43" i="16"/>
  <c r="N8" i="5"/>
  <c r="N39" i="5"/>
  <c r="N56" i="5"/>
  <c r="R8" i="7"/>
  <c r="R8" i="9"/>
  <c r="L42" i="16"/>
  <c r="L43" i="16"/>
  <c r="R8" i="5"/>
  <c r="R39" i="5"/>
  <c r="D9" i="7"/>
  <c r="D9" i="9"/>
  <c r="D40" i="9"/>
  <c r="D9" i="5"/>
  <c r="D40" i="5"/>
  <c r="D57" i="5"/>
  <c r="H9" i="7"/>
  <c r="H9" i="9"/>
  <c r="H40" i="9"/>
  <c r="H57" i="9"/>
  <c r="H9" i="5"/>
  <c r="H40" i="5"/>
  <c r="L9" i="7"/>
  <c r="L9" i="9"/>
  <c r="L40" i="9"/>
  <c r="L9" i="5"/>
  <c r="L40" i="5"/>
  <c r="L57" i="5"/>
  <c r="P9" i="7"/>
  <c r="P9" i="9"/>
  <c r="P40" i="9"/>
  <c r="P9" i="5"/>
  <c r="P40" i="5"/>
  <c r="T9" i="7"/>
  <c r="T9" i="9"/>
  <c r="T9" i="5"/>
  <c r="T40" i="5"/>
  <c r="T57" i="5"/>
  <c r="E7" i="7"/>
  <c r="E7" i="9"/>
  <c r="E38" i="9"/>
  <c r="E55" i="9"/>
  <c r="E7" i="5"/>
  <c r="E38" i="5"/>
  <c r="I7" i="7"/>
  <c r="I7" i="9"/>
  <c r="I38" i="9"/>
  <c r="I55" i="9"/>
  <c r="I7" i="5"/>
  <c r="I38" i="5"/>
  <c r="M7" i="7"/>
  <c r="M7" i="9"/>
  <c r="M38" i="9"/>
  <c r="M55" i="9"/>
  <c r="M7" i="5"/>
  <c r="M38" i="5"/>
  <c r="Q7" i="7"/>
  <c r="Q7" i="9"/>
  <c r="Q38" i="9"/>
  <c r="Q55" i="9"/>
  <c r="Q7" i="5"/>
  <c r="Q38" i="5"/>
  <c r="C8" i="7"/>
  <c r="C8" i="9"/>
  <c r="C39" i="9"/>
  <c r="C8" i="5"/>
  <c r="C39" i="5"/>
  <c r="G8" i="7"/>
  <c r="G8" i="9"/>
  <c r="G39" i="9"/>
  <c r="G8" i="5"/>
  <c r="G39" i="5"/>
  <c r="K8" i="7"/>
  <c r="K8" i="9"/>
  <c r="K39" i="9"/>
  <c r="E42" i="16"/>
  <c r="E43" i="16"/>
  <c r="K8" i="5"/>
  <c r="K39" i="5"/>
  <c r="O8" i="7"/>
  <c r="O8" i="9"/>
  <c r="O39" i="9"/>
  <c r="I42" i="16"/>
  <c r="I43" i="16"/>
  <c r="O8" i="5"/>
  <c r="O39" i="5"/>
  <c r="S8" i="7"/>
  <c r="S8" i="9"/>
  <c r="S39" i="9"/>
  <c r="M42" i="16"/>
  <c r="M43" i="16"/>
  <c r="S8" i="5"/>
  <c r="S39" i="5"/>
  <c r="E11" i="7"/>
  <c r="E11" i="9"/>
  <c r="E42" i="9"/>
  <c r="E59" i="9"/>
  <c r="E11" i="5"/>
  <c r="E42" i="5"/>
  <c r="E59" i="5"/>
  <c r="I11" i="7"/>
  <c r="I11" i="9"/>
  <c r="I42" i="9"/>
  <c r="I59" i="9"/>
  <c r="I11" i="5"/>
  <c r="I42" i="5"/>
  <c r="I59" i="5"/>
  <c r="M11" i="7"/>
  <c r="M11" i="9"/>
  <c r="M42" i="9"/>
  <c r="M59" i="9"/>
  <c r="M11" i="5"/>
  <c r="M42" i="5"/>
  <c r="Q11" i="7"/>
  <c r="Q11" i="9"/>
  <c r="Q42" i="9"/>
  <c r="Q59" i="9"/>
  <c r="Q11" i="5"/>
  <c r="Q42" i="5"/>
  <c r="C15" i="7"/>
  <c r="C15" i="9"/>
  <c r="C46" i="9"/>
  <c r="C63" i="9"/>
  <c r="C15" i="5"/>
  <c r="C46" i="5"/>
  <c r="C63" i="5"/>
  <c r="G15" i="7"/>
  <c r="G15" i="9"/>
  <c r="G46" i="9"/>
  <c r="G63" i="9"/>
  <c r="G15" i="5"/>
  <c r="G46" i="5"/>
  <c r="G63" i="5"/>
  <c r="K15" i="7"/>
  <c r="K15" i="9"/>
  <c r="K46" i="9"/>
  <c r="K63" i="9"/>
  <c r="K15" i="5"/>
  <c r="K46" i="5"/>
  <c r="K63" i="5"/>
  <c r="O15" i="7"/>
  <c r="O15" i="9"/>
  <c r="O46" i="9"/>
  <c r="O63" i="9"/>
  <c r="O15" i="5"/>
  <c r="O46" i="5"/>
  <c r="O63" i="5"/>
  <c r="S15" i="7"/>
  <c r="S15" i="9"/>
  <c r="S15" i="5"/>
  <c r="S46" i="5"/>
  <c r="S63" i="5"/>
  <c r="X15" i="7"/>
  <c r="X15" i="9"/>
  <c r="X46" i="9"/>
  <c r="X63" i="9"/>
  <c r="X15" i="5"/>
  <c r="X46" i="5"/>
  <c r="X63" i="5"/>
  <c r="Y11" i="7"/>
  <c r="Y11" i="9"/>
  <c r="Y11" i="5"/>
  <c r="Y42" i="5"/>
  <c r="U11" i="7"/>
  <c r="U11" i="9"/>
  <c r="U42" i="9"/>
  <c r="U11" i="5"/>
  <c r="U42" i="5"/>
  <c r="W9" i="7"/>
  <c r="W9" i="9"/>
  <c r="W40" i="9"/>
  <c r="W9" i="5"/>
  <c r="W40" i="5"/>
  <c r="X8" i="7"/>
  <c r="X8" i="9"/>
  <c r="X39" i="9"/>
  <c r="R42" i="16"/>
  <c r="R43" i="16"/>
  <c r="Y7" i="7"/>
  <c r="Y7" i="9"/>
  <c r="Y7" i="5"/>
  <c r="Y38" i="5"/>
  <c r="U7" i="7"/>
  <c r="U7" i="9"/>
  <c r="U38" i="9"/>
  <c r="U7" i="5"/>
  <c r="U38" i="5"/>
  <c r="G13" i="5"/>
  <c r="G44" i="5"/>
  <c r="G13" i="7"/>
  <c r="G13" i="9"/>
  <c r="G44" i="9"/>
  <c r="G3" i="16"/>
  <c r="I12" i="4"/>
  <c r="I14" i="4"/>
  <c r="I13" i="7"/>
  <c r="I13" i="9"/>
  <c r="I44" i="9"/>
  <c r="I61" i="9"/>
  <c r="I3" i="16"/>
  <c r="M12" i="4"/>
  <c r="M12" i="5"/>
  <c r="M43" i="5"/>
  <c r="M13" i="7"/>
  <c r="M13" i="9"/>
  <c r="M44" i="9"/>
  <c r="M61" i="9"/>
  <c r="M3" i="16"/>
  <c r="Q12" i="4"/>
  <c r="Q14" i="4"/>
  <c r="Q13" i="7"/>
  <c r="Q13" i="9"/>
  <c r="Q44" i="9"/>
  <c r="Q61" i="9"/>
  <c r="Q3" i="16"/>
  <c r="U12" i="4"/>
  <c r="U14" i="4"/>
  <c r="U14" i="7"/>
  <c r="U13" i="7"/>
  <c r="U13" i="9"/>
  <c r="U3" i="16"/>
  <c r="Y12" i="4"/>
  <c r="Y12" i="7"/>
  <c r="Y12" i="9"/>
  <c r="Y13" i="7"/>
  <c r="Y13" i="9"/>
  <c r="J10" i="20"/>
  <c r="O10" i="20" s="1"/>
  <c r="D46" i="20" s="1"/>
  <c r="Y3" i="16"/>
  <c r="B15" i="5"/>
  <c r="B46" i="5"/>
  <c r="B63" i="5"/>
  <c r="B8" i="5"/>
  <c r="B39" i="5"/>
  <c r="E6" i="5"/>
  <c r="E37" i="5"/>
  <c r="E54" i="5"/>
  <c r="J6" i="5"/>
  <c r="J37" i="5"/>
  <c r="O6" i="5"/>
  <c r="O37" i="5"/>
  <c r="U6" i="5"/>
  <c r="U37" i="5"/>
  <c r="C7" i="5"/>
  <c r="C38" i="5"/>
  <c r="H7" i="5"/>
  <c r="H38" i="5"/>
  <c r="P7" i="5"/>
  <c r="P38" i="5"/>
  <c r="X7" i="5"/>
  <c r="X38" i="5"/>
  <c r="X55" i="5"/>
  <c r="I8" i="5"/>
  <c r="I39" i="5"/>
  <c r="Q8" i="5"/>
  <c r="Q39" i="5"/>
  <c r="Y8" i="5"/>
  <c r="Y39" i="5"/>
  <c r="J9" i="5"/>
  <c r="J40" i="5"/>
  <c r="R9" i="5"/>
  <c r="R40" i="5"/>
  <c r="C10" i="5"/>
  <c r="C41" i="5"/>
  <c r="C58" i="5"/>
  <c r="K10" i="5"/>
  <c r="K41" i="5"/>
  <c r="S10" i="5"/>
  <c r="S41" i="5"/>
  <c r="D11" i="5"/>
  <c r="D42" i="5"/>
  <c r="D59" i="5"/>
  <c r="T11" i="5"/>
  <c r="T42" i="5"/>
  <c r="T59" i="5"/>
  <c r="M15" i="5"/>
  <c r="M46" i="5"/>
  <c r="M63" i="5"/>
  <c r="C13" i="7"/>
  <c r="C3" i="16"/>
  <c r="F13" i="7"/>
  <c r="F3" i="16"/>
  <c r="B13" i="7"/>
  <c r="B3" i="16"/>
  <c r="E13" i="7"/>
  <c r="E3" i="16"/>
  <c r="D13" i="7"/>
  <c r="D3" i="16"/>
  <c r="I57" i="9"/>
  <c r="P12" i="20"/>
  <c r="X42" i="9"/>
  <c r="W41" i="9"/>
  <c r="G7" i="20"/>
  <c r="V40" i="9"/>
  <c r="S37" i="9"/>
  <c r="C3" i="20"/>
  <c r="V41" i="9"/>
  <c r="F7" i="20"/>
  <c r="U40" i="9"/>
  <c r="S38" i="9"/>
  <c r="C4" i="20"/>
  <c r="R37" i="9"/>
  <c r="B15" i="20"/>
  <c r="B3" i="20"/>
  <c r="Q3" i="20"/>
  <c r="U41" i="9"/>
  <c r="E7" i="20"/>
  <c r="R38" i="9"/>
  <c r="B16" i="20"/>
  <c r="Y37" i="9"/>
  <c r="C15" i="20"/>
  <c r="R3" i="20"/>
  <c r="T41" i="9"/>
  <c r="D7" i="20"/>
  <c r="U46" i="9"/>
  <c r="U63" i="9"/>
  <c r="T42" i="9"/>
  <c r="D8" i="20"/>
  <c r="C7" i="20"/>
  <c r="AE24" i="9"/>
  <c r="B6" i="20"/>
  <c r="H4" i="20"/>
  <c r="P55" i="9"/>
  <c r="W37" i="9"/>
  <c r="G3" i="20"/>
  <c r="S42" i="9"/>
  <c r="C59" i="9"/>
  <c r="R41" i="9"/>
  <c r="B19" i="20"/>
  <c r="Q7" i="20"/>
  <c r="Y40" i="9"/>
  <c r="C18" i="20"/>
  <c r="F18" i="20" s="1"/>
  <c r="I6" i="20"/>
  <c r="R6" i="20"/>
  <c r="P6" i="20"/>
  <c r="W38" i="9"/>
  <c r="V39" i="9"/>
  <c r="H55" i="9"/>
  <c r="H59" i="9"/>
  <c r="C54" i="9"/>
  <c r="R40" i="9"/>
  <c r="B18" i="20"/>
  <c r="AE21" i="9"/>
  <c r="B59" i="9"/>
  <c r="AF21" i="9"/>
  <c r="B57" i="9"/>
  <c r="Q58" i="9"/>
  <c r="I58" i="9"/>
  <c r="M54" i="9"/>
  <c r="E54" i="9"/>
  <c r="V12" i="4"/>
  <c r="V14" i="4"/>
  <c r="V14" i="7"/>
  <c r="G12" i="4"/>
  <c r="M13" i="5"/>
  <c r="M44" i="5"/>
  <c r="K12" i="4"/>
  <c r="J13" i="5"/>
  <c r="J44" i="5"/>
  <c r="R12" i="4"/>
  <c r="R13" i="5"/>
  <c r="R44" i="5"/>
  <c r="S12" i="4"/>
  <c r="U13" i="5"/>
  <c r="U44" i="5"/>
  <c r="U61" i="5"/>
  <c r="J14" i="4"/>
  <c r="J14" i="7"/>
  <c r="J12" i="5"/>
  <c r="J43" i="5"/>
  <c r="K13" i="5"/>
  <c r="K44" i="5"/>
  <c r="K61" i="5"/>
  <c r="S13" i="5"/>
  <c r="S44" i="5"/>
  <c r="L13" i="5"/>
  <c r="L44" i="5"/>
  <c r="L61" i="5"/>
  <c r="T13" i="5"/>
  <c r="T44" i="5"/>
  <c r="T61" i="5"/>
  <c r="N13" i="5"/>
  <c r="N44" i="5"/>
  <c r="N61" i="5"/>
  <c r="V13" i="5"/>
  <c r="V44" i="5"/>
  <c r="V61" i="5"/>
  <c r="N14" i="4"/>
  <c r="N14" i="7"/>
  <c r="O13" i="5"/>
  <c r="O44" i="5"/>
  <c r="W13" i="5"/>
  <c r="W44" i="5"/>
  <c r="H13" i="5"/>
  <c r="H44" i="5"/>
  <c r="P13" i="5"/>
  <c r="P44" i="5"/>
  <c r="X13" i="5"/>
  <c r="X44" i="5"/>
  <c r="X61" i="5"/>
  <c r="H14" i="4"/>
  <c r="H14" i="7"/>
  <c r="I13" i="5"/>
  <c r="I44" i="5"/>
  <c r="Q13" i="5"/>
  <c r="Q44" i="5"/>
  <c r="Y13" i="5"/>
  <c r="Y44" i="5"/>
  <c r="V54" i="5"/>
  <c r="T56" i="5"/>
  <c r="Y59" i="5"/>
  <c r="D56" i="5"/>
  <c r="L56" i="5"/>
  <c r="Y54" i="5"/>
  <c r="N59" i="5"/>
  <c r="U57" i="5"/>
  <c r="G54" i="5"/>
  <c r="E56" i="9"/>
  <c r="A63" i="9"/>
  <c r="AD30" i="9"/>
  <c r="B56" i="9"/>
  <c r="M57" i="9"/>
  <c r="E57" i="9"/>
  <c r="A41" i="9"/>
  <c r="A58" i="9"/>
  <c r="Q57" i="9"/>
  <c r="R42" i="9"/>
  <c r="B20" i="20"/>
  <c r="F20" i="20" s="1"/>
  <c r="B55" i="9"/>
  <c r="Q54" i="9"/>
  <c r="I54" i="9"/>
  <c r="A61" i="9"/>
  <c r="AD28" i="9"/>
  <c r="M56" i="9"/>
  <c r="AE25" i="9"/>
  <c r="A39" i="9"/>
  <c r="A56" i="9"/>
  <c r="AD23" i="9"/>
  <c r="Y46" i="9"/>
  <c r="Z26" i="9"/>
  <c r="AD26" i="9"/>
  <c r="A40" i="9"/>
  <c r="A57" i="9"/>
  <c r="A38" i="9"/>
  <c r="A55" i="9"/>
  <c r="A45" i="9"/>
  <c r="AD22" i="9"/>
  <c r="B6" i="9"/>
  <c r="B37" i="9"/>
  <c r="B54" i="9"/>
  <c r="AF24" i="9"/>
  <c r="G3" i="11"/>
  <c r="Q37" i="15"/>
  <c r="D6" i="11"/>
  <c r="N39" i="15"/>
  <c r="P38" i="15"/>
  <c r="F4" i="11"/>
  <c r="P37" i="15"/>
  <c r="F3" i="11"/>
  <c r="O39" i="15"/>
  <c r="E6" i="11"/>
  <c r="R40" i="15"/>
  <c r="H5" i="11"/>
  <c r="Q5" i="11"/>
  <c r="P5" i="11"/>
  <c r="N40" i="15"/>
  <c r="D5" i="11"/>
  <c r="Z46" i="9"/>
  <c r="Z63" i="9"/>
  <c r="K12" i="20"/>
  <c r="C48" i="20" s="1"/>
  <c r="D4" i="20"/>
  <c r="M39" i="15"/>
  <c r="C6" i="11"/>
  <c r="F57" i="9"/>
  <c r="E6" i="20"/>
  <c r="Q38" i="15"/>
  <c r="G4" i="11"/>
  <c r="M37" i="15"/>
  <c r="C3" i="11"/>
  <c r="N37" i="15"/>
  <c r="D3" i="11"/>
  <c r="P40" i="15"/>
  <c r="F5" i="11"/>
  <c r="B4" i="11"/>
  <c r="L38" i="15"/>
  <c r="B3" i="11"/>
  <c r="L37" i="15"/>
  <c r="Q39" i="15"/>
  <c r="G6" i="11"/>
  <c r="M40" i="15"/>
  <c r="C5" i="11"/>
  <c r="L39" i="15"/>
  <c r="B6" i="11"/>
  <c r="O40" i="15"/>
  <c r="E5" i="11"/>
  <c r="H3" i="11"/>
  <c r="R37" i="15"/>
  <c r="Q3" i="11"/>
  <c r="P3" i="11"/>
  <c r="F58" i="9"/>
  <c r="X37" i="9"/>
  <c r="X54" i="9"/>
  <c r="U37" i="9"/>
  <c r="I3" i="20"/>
  <c r="N54" i="9"/>
  <c r="Q6" i="20"/>
  <c r="Q40" i="15"/>
  <c r="G5" i="11"/>
  <c r="M38" i="15"/>
  <c r="C4" i="11"/>
  <c r="D4" i="11"/>
  <c r="N38" i="15"/>
  <c r="Z44" i="9"/>
  <c r="Z61" i="9"/>
  <c r="K10" i="20"/>
  <c r="C46" i="20" s="1"/>
  <c r="P39" i="15"/>
  <c r="F6" i="11"/>
  <c r="L40" i="15"/>
  <c r="B5" i="11"/>
  <c r="O38" i="15"/>
  <c r="E4" i="11"/>
  <c r="O37" i="15"/>
  <c r="E3" i="11"/>
  <c r="R39" i="15"/>
  <c r="Q6" i="11"/>
  <c r="H6" i="11"/>
  <c r="P6" i="11"/>
  <c r="R38" i="15"/>
  <c r="Q4" i="11"/>
  <c r="H4" i="11"/>
  <c r="P4" i="11"/>
  <c r="Y63" i="9"/>
  <c r="C24" i="20"/>
  <c r="G24" i="20" s="1"/>
  <c r="F15" i="20"/>
  <c r="Y38" i="9"/>
  <c r="C16" i="20"/>
  <c r="F16" i="20" s="1"/>
  <c r="I8" i="20"/>
  <c r="Y43" i="9"/>
  <c r="C21" i="20"/>
  <c r="Y41" i="9"/>
  <c r="C19" i="20"/>
  <c r="E12" i="20"/>
  <c r="D12" i="20"/>
  <c r="W58" i="5"/>
  <c r="W59" i="5"/>
  <c r="H61" i="9"/>
  <c r="C8" i="20"/>
  <c r="C57" i="9"/>
  <c r="B4" i="20"/>
  <c r="H6" i="20"/>
  <c r="J54" i="9"/>
  <c r="H61" i="5"/>
  <c r="H58" i="5"/>
  <c r="P59" i="9"/>
  <c r="R8" i="20"/>
  <c r="S40" i="9"/>
  <c r="B7" i="20"/>
  <c r="I4" i="20"/>
  <c r="W42" i="9"/>
  <c r="W59" i="9"/>
  <c r="P57" i="9"/>
  <c r="G8" i="20"/>
  <c r="Q54" i="5"/>
  <c r="Z21" i="9"/>
  <c r="Q12" i="5"/>
  <c r="Q43" i="5"/>
  <c r="Q60" i="5"/>
  <c r="H56" i="5"/>
  <c r="Q12" i="20"/>
  <c r="K57" i="9"/>
  <c r="K58" i="5"/>
  <c r="Y56" i="5"/>
  <c r="C5" i="20"/>
  <c r="P59" i="5"/>
  <c r="N54" i="5"/>
  <c r="P61" i="9"/>
  <c r="W54" i="5"/>
  <c r="C54" i="5"/>
  <c r="J55" i="9"/>
  <c r="V58" i="5"/>
  <c r="K55" i="5"/>
  <c r="K54" i="5"/>
  <c r="N59" i="9"/>
  <c r="F59" i="9"/>
  <c r="P58" i="9"/>
  <c r="H58" i="9"/>
  <c r="L58" i="5"/>
  <c r="D58" i="5"/>
  <c r="H54" i="5"/>
  <c r="S55" i="5"/>
  <c r="AE22" i="9"/>
  <c r="F5" i="20"/>
  <c r="B12" i="20"/>
  <c r="D6" i="20"/>
  <c r="Q8" i="20"/>
  <c r="R46" i="9"/>
  <c r="Q61" i="5"/>
  <c r="P58" i="5"/>
  <c r="P56" i="5"/>
  <c r="Q4" i="20"/>
  <c r="T40" i="9"/>
  <c r="L59" i="9"/>
  <c r="G61" i="9"/>
  <c r="M59" i="5"/>
  <c r="K56" i="5"/>
  <c r="G56" i="9"/>
  <c r="C59" i="5"/>
  <c r="O60" i="9"/>
  <c r="C57" i="5"/>
  <c r="T58" i="5"/>
  <c r="O56" i="9"/>
  <c r="B54" i="5"/>
  <c r="O57" i="9"/>
  <c r="G58" i="9"/>
  <c r="G12" i="20"/>
  <c r="U55" i="9"/>
  <c r="G59" i="9"/>
  <c r="M58" i="5"/>
  <c r="O55" i="9"/>
  <c r="G54" i="9"/>
  <c r="I12" i="20"/>
  <c r="O54" i="9"/>
  <c r="J61" i="5"/>
  <c r="J60" i="5"/>
  <c r="W14" i="4"/>
  <c r="W14" i="7"/>
  <c r="W14" i="9"/>
  <c r="P54" i="5"/>
  <c r="L61" i="9"/>
  <c r="L12" i="5"/>
  <c r="L43" i="5"/>
  <c r="L60" i="5"/>
  <c r="M14" i="4"/>
  <c r="M14" i="7"/>
  <c r="M14" i="9"/>
  <c r="M45" i="9"/>
  <c r="M62" i="9"/>
  <c r="W12" i="5"/>
  <c r="W43" i="5"/>
  <c r="W60" i="5"/>
  <c r="E4" i="20"/>
  <c r="H7" i="20"/>
  <c r="AE30" i="9"/>
  <c r="J58" i="9"/>
  <c r="C55" i="5"/>
  <c r="C12" i="20"/>
  <c r="P57" i="5"/>
  <c r="H57" i="5"/>
  <c r="M60" i="5"/>
  <c r="B58" i="5"/>
  <c r="AE26" i="9"/>
  <c r="O58" i="9"/>
  <c r="H59" i="5"/>
  <c r="P61" i="5"/>
  <c r="W61" i="5"/>
  <c r="S61" i="5"/>
  <c r="R61" i="5"/>
  <c r="M61" i="5"/>
  <c r="J59" i="9"/>
  <c r="J56" i="9"/>
  <c r="AF30" i="9"/>
  <c r="G55" i="9"/>
  <c r="E3" i="20"/>
  <c r="B8" i="20"/>
  <c r="J57" i="9"/>
  <c r="R39" i="9"/>
  <c r="B17" i="20"/>
  <c r="E8" i="20"/>
  <c r="H12" i="20"/>
  <c r="S58" i="5"/>
  <c r="Q59" i="5"/>
  <c r="S56" i="5"/>
  <c r="E5" i="20"/>
  <c r="W55" i="5"/>
  <c r="X58" i="9"/>
  <c r="O59" i="9"/>
  <c r="G57" i="9"/>
  <c r="M57" i="5"/>
  <c r="H5" i="20"/>
  <c r="W54" i="9"/>
  <c r="I5" i="20"/>
  <c r="J54" i="5"/>
  <c r="S59" i="5"/>
  <c r="K59" i="5"/>
  <c r="S57" i="5"/>
  <c r="K57" i="5"/>
  <c r="R55" i="5"/>
  <c r="R57" i="5"/>
  <c r="C56" i="5"/>
  <c r="M55" i="5"/>
  <c r="R56" i="5"/>
  <c r="R58" i="5"/>
  <c r="F57" i="5"/>
  <c r="M54" i="5"/>
  <c r="W58" i="9"/>
  <c r="B55" i="5"/>
  <c r="B59" i="5"/>
  <c r="O61" i="9"/>
  <c r="J57" i="5"/>
  <c r="B56" i="5"/>
  <c r="J58" i="5"/>
  <c r="S54" i="5"/>
  <c r="B57" i="5"/>
  <c r="R5" i="20"/>
  <c r="M56" i="5"/>
  <c r="C55" i="9"/>
  <c r="D55" i="9"/>
  <c r="Y61" i="5"/>
  <c r="U12" i="5"/>
  <c r="U43" i="5"/>
  <c r="U60" i="5"/>
  <c r="O14" i="4"/>
  <c r="O14" i="7"/>
  <c r="O14" i="9"/>
  <c r="O45" i="9"/>
  <c r="O62" i="9"/>
  <c r="K54" i="9"/>
  <c r="U55" i="5"/>
  <c r="U59" i="5"/>
  <c r="C56" i="9"/>
  <c r="L56" i="9"/>
  <c r="G58" i="5"/>
  <c r="F55" i="5"/>
  <c r="I58" i="5"/>
  <c r="N58" i="5"/>
  <c r="E57" i="5"/>
  <c r="F54" i="5"/>
  <c r="U56" i="5"/>
  <c r="F56" i="5"/>
  <c r="X56" i="9"/>
  <c r="Y42" i="9"/>
  <c r="C20" i="20"/>
  <c r="D58" i="9"/>
  <c r="U54" i="5"/>
  <c r="D59" i="9"/>
  <c r="N60" i="5"/>
  <c r="Y58" i="5"/>
  <c r="O12" i="5"/>
  <c r="O43" i="5"/>
  <c r="O60" i="5"/>
  <c r="Y14" i="4"/>
  <c r="Y14" i="5"/>
  <c r="Y45" i="5"/>
  <c r="Y62" i="5"/>
  <c r="AE23" i="9"/>
  <c r="G6" i="20"/>
  <c r="P8" i="20"/>
  <c r="P7" i="20"/>
  <c r="S46" i="9"/>
  <c r="S57" i="9"/>
  <c r="K58" i="9"/>
  <c r="P4" i="20"/>
  <c r="B5" i="20"/>
  <c r="V46" i="9"/>
  <c r="V55" i="9"/>
  <c r="P55" i="5"/>
  <c r="W56" i="5"/>
  <c r="K56" i="9"/>
  <c r="F58" i="5"/>
  <c r="F59" i="5"/>
  <c r="L54" i="9"/>
  <c r="Q5" i="20"/>
  <c r="D57" i="9"/>
  <c r="K55" i="9"/>
  <c r="U58" i="5"/>
  <c r="AF22" i="9"/>
  <c r="C58" i="9"/>
  <c r="D56" i="9"/>
  <c r="N57" i="5"/>
  <c r="Y57" i="5"/>
  <c r="G5" i="20"/>
  <c r="R4" i="20"/>
  <c r="S56" i="9"/>
  <c r="U57" i="9"/>
  <c r="X59" i="9"/>
  <c r="K59" i="9"/>
  <c r="H55" i="5"/>
  <c r="Y55" i="5"/>
  <c r="W57" i="5"/>
  <c r="C10" i="20"/>
  <c r="N57" i="9"/>
  <c r="N55" i="9"/>
  <c r="L58" i="9"/>
  <c r="N58" i="9"/>
  <c r="L55" i="9"/>
  <c r="O59" i="5"/>
  <c r="E58" i="5"/>
  <c r="X54" i="5"/>
  <c r="Q57" i="5"/>
  <c r="I61" i="5"/>
  <c r="I12" i="5"/>
  <c r="I43" i="5"/>
  <c r="I60" i="5"/>
  <c r="X58" i="5"/>
  <c r="E55" i="5"/>
  <c r="X55" i="9"/>
  <c r="D3" i="20"/>
  <c r="F56" i="9"/>
  <c r="U54" i="9"/>
  <c r="W39" i="9"/>
  <c r="W56" i="9"/>
  <c r="I7" i="20"/>
  <c r="Y39" i="9"/>
  <c r="U59" i="9"/>
  <c r="F8" i="20"/>
  <c r="D5" i="20"/>
  <c r="Q56" i="5"/>
  <c r="O61" i="5"/>
  <c r="V42" i="9"/>
  <c r="V59" i="9"/>
  <c r="T39" i="9"/>
  <c r="W55" i="9"/>
  <c r="I57" i="5"/>
  <c r="N60" i="9"/>
  <c r="X59" i="5"/>
  <c r="W57" i="9"/>
  <c r="F4" i="20"/>
  <c r="R7" i="20"/>
  <c r="G4" i="20"/>
  <c r="P5" i="20"/>
  <c r="F55" i="9"/>
  <c r="F54" i="9"/>
  <c r="L57" i="9"/>
  <c r="O58" i="5"/>
  <c r="O54" i="5"/>
  <c r="G59" i="5"/>
  <c r="G61" i="5"/>
  <c r="E56" i="5"/>
  <c r="I54" i="5"/>
  <c r="I56" i="5"/>
  <c r="D10" i="20"/>
  <c r="S44" i="9"/>
  <c r="S61" i="9"/>
  <c r="Y12" i="5"/>
  <c r="Y43" i="5"/>
  <c r="Y60" i="5"/>
  <c r="X56" i="5"/>
  <c r="D54" i="9"/>
  <c r="X57" i="9"/>
  <c r="T46" i="9"/>
  <c r="T54" i="9"/>
  <c r="V61" i="9"/>
  <c r="Q55" i="5"/>
  <c r="N55" i="5"/>
  <c r="N61" i="9"/>
  <c r="J60" i="9"/>
  <c r="R54" i="5"/>
  <c r="K61" i="9"/>
  <c r="J55" i="5"/>
  <c r="S54" i="9"/>
  <c r="V56" i="9"/>
  <c r="S12" i="7"/>
  <c r="S12" i="9"/>
  <c r="R12" i="7"/>
  <c r="R12" i="9"/>
  <c r="G12" i="5"/>
  <c r="G43" i="5"/>
  <c r="G60" i="5"/>
  <c r="G12" i="7"/>
  <c r="G12" i="9"/>
  <c r="G43" i="9"/>
  <c r="G60" i="9"/>
  <c r="Y4" i="16"/>
  <c r="Y10" i="16"/>
  <c r="Y9" i="16"/>
  <c r="J21" i="16"/>
  <c r="Q12" i="7"/>
  <c r="Q12" i="9"/>
  <c r="Q43" i="9"/>
  <c r="Q60" i="9"/>
  <c r="I4" i="16"/>
  <c r="I10" i="16"/>
  <c r="I9" i="16"/>
  <c r="G55" i="5"/>
  <c r="X4" i="16"/>
  <c r="X10" i="16"/>
  <c r="X9" i="16"/>
  <c r="I21" i="16"/>
  <c r="P12" i="5"/>
  <c r="P43" i="5"/>
  <c r="P60" i="5"/>
  <c r="P12" i="7"/>
  <c r="P12" i="9"/>
  <c r="P43" i="9"/>
  <c r="P60" i="9"/>
  <c r="H4" i="16"/>
  <c r="H10" i="16"/>
  <c r="H9" i="16"/>
  <c r="A37" i="9"/>
  <c r="A54" i="9"/>
  <c r="A3" i="20"/>
  <c r="A39" i="20" s="1"/>
  <c r="S4" i="16"/>
  <c r="S10" i="16"/>
  <c r="S9" i="16"/>
  <c r="O57" i="5"/>
  <c r="G57" i="5"/>
  <c r="R4" i="16"/>
  <c r="R10" i="16"/>
  <c r="R9" i="16"/>
  <c r="J61" i="9"/>
  <c r="V12" i="5"/>
  <c r="V43" i="5"/>
  <c r="V60" i="5"/>
  <c r="V12" i="7"/>
  <c r="V12" i="9"/>
  <c r="G9" i="20"/>
  <c r="D4" i="16"/>
  <c r="D10" i="16"/>
  <c r="D9" i="16"/>
  <c r="B9" i="16"/>
  <c r="B4" i="16"/>
  <c r="B10" i="16"/>
  <c r="C4" i="16"/>
  <c r="C10" i="16"/>
  <c r="C9" i="16"/>
  <c r="U12" i="7"/>
  <c r="U12" i="9"/>
  <c r="M4" i="16"/>
  <c r="M10" i="16"/>
  <c r="M9" i="16"/>
  <c r="O56" i="5"/>
  <c r="T12" i="5"/>
  <c r="T43" i="5"/>
  <c r="T60" i="5"/>
  <c r="T12" i="7"/>
  <c r="T12" i="9"/>
  <c r="T43" i="9"/>
  <c r="L4" i="16"/>
  <c r="L10" i="16"/>
  <c r="L9" i="16"/>
  <c r="V55" i="5"/>
  <c r="L55" i="5"/>
  <c r="W4" i="16"/>
  <c r="W10" i="16"/>
  <c r="W9" i="16"/>
  <c r="H21" i="16"/>
  <c r="V4" i="16"/>
  <c r="V10" i="16"/>
  <c r="V9" i="16"/>
  <c r="I14" i="5"/>
  <c r="I45" i="5"/>
  <c r="I62" i="5"/>
  <c r="I14" i="7"/>
  <c r="I14" i="9"/>
  <c r="I45" i="9"/>
  <c r="I62" i="9"/>
  <c r="K12" i="7"/>
  <c r="K12" i="9"/>
  <c r="K43" i="9"/>
  <c r="K60" i="9"/>
  <c r="Q4" i="16"/>
  <c r="Q10" i="16"/>
  <c r="Q9" i="16"/>
  <c r="I12" i="7"/>
  <c r="I12" i="9"/>
  <c r="I43" i="9"/>
  <c r="I60" i="9"/>
  <c r="X12" i="5"/>
  <c r="X43" i="5"/>
  <c r="X60" i="5"/>
  <c r="X12" i="7"/>
  <c r="X12" i="9"/>
  <c r="H9" i="20"/>
  <c r="P4" i="16"/>
  <c r="P10" i="16"/>
  <c r="P9" i="16"/>
  <c r="H12" i="5"/>
  <c r="H43" i="5"/>
  <c r="H60" i="5"/>
  <c r="H12" i="7"/>
  <c r="H12" i="9"/>
  <c r="H43" i="9"/>
  <c r="H60" i="9"/>
  <c r="K4" i="16"/>
  <c r="K10" i="16"/>
  <c r="K9" i="16"/>
  <c r="D55" i="5"/>
  <c r="J4" i="16"/>
  <c r="J10" i="16"/>
  <c r="J9" i="16"/>
  <c r="R59" i="5"/>
  <c r="J59" i="5"/>
  <c r="Q14" i="5"/>
  <c r="Q45" i="5"/>
  <c r="Q62" i="5"/>
  <c r="Q14" i="7"/>
  <c r="Q14" i="9"/>
  <c r="Q45" i="9"/>
  <c r="Q62" i="9"/>
  <c r="E4" i="16"/>
  <c r="E10" i="16"/>
  <c r="E9" i="16"/>
  <c r="F4" i="16"/>
  <c r="F10" i="16"/>
  <c r="F9" i="16"/>
  <c r="U4" i="16"/>
  <c r="U10" i="16"/>
  <c r="U9" i="16"/>
  <c r="M12" i="7"/>
  <c r="M12" i="9"/>
  <c r="M43" i="9"/>
  <c r="M60" i="9"/>
  <c r="G4" i="16"/>
  <c r="G10" i="16"/>
  <c r="G9" i="16"/>
  <c r="G56" i="5"/>
  <c r="I55" i="5"/>
  <c r="O55" i="5"/>
  <c r="T4" i="16"/>
  <c r="T10" i="16"/>
  <c r="T9" i="16"/>
  <c r="L12" i="7"/>
  <c r="L12" i="9"/>
  <c r="L43" i="9"/>
  <c r="L60" i="9"/>
  <c r="X57" i="5"/>
  <c r="J56" i="5"/>
  <c r="O4" i="16"/>
  <c r="O10" i="16"/>
  <c r="O9" i="16"/>
  <c r="N4" i="16"/>
  <c r="N10" i="16"/>
  <c r="N9" i="16"/>
  <c r="U58" i="9"/>
  <c r="S55" i="9"/>
  <c r="U56" i="9"/>
  <c r="E10" i="20"/>
  <c r="S59" i="9"/>
  <c r="AF28" i="9"/>
  <c r="I10" i="20"/>
  <c r="R10" i="20"/>
  <c r="H10" i="20"/>
  <c r="P3" i="20"/>
  <c r="W44" i="9"/>
  <c r="W61" i="9"/>
  <c r="G10" i="20"/>
  <c r="Q10" i="20"/>
  <c r="B10" i="20"/>
  <c r="F10" i="20"/>
  <c r="Y58" i="9"/>
  <c r="R54" i="9"/>
  <c r="AA21" i="9"/>
  <c r="Y60" i="9"/>
  <c r="Y54" i="9"/>
  <c r="K14" i="4"/>
  <c r="K14" i="7"/>
  <c r="K14" i="9"/>
  <c r="K45" i="9"/>
  <c r="K62" i="9"/>
  <c r="K12" i="5"/>
  <c r="K43" i="5"/>
  <c r="K60" i="5"/>
  <c r="R12" i="5"/>
  <c r="R43" i="5"/>
  <c r="R60" i="5"/>
  <c r="R14" i="4"/>
  <c r="AE28" i="9"/>
  <c r="G14" i="4"/>
  <c r="G14" i="7"/>
  <c r="G14" i="9"/>
  <c r="G45" i="9"/>
  <c r="G62" i="9"/>
  <c r="S12" i="5"/>
  <c r="S43" i="5"/>
  <c r="S60" i="5"/>
  <c r="S14" i="4"/>
  <c r="S14" i="7"/>
  <c r="S14" i="9"/>
  <c r="W43" i="9"/>
  <c r="W60" i="9"/>
  <c r="V14" i="9"/>
  <c r="V14" i="5"/>
  <c r="V45" i="5"/>
  <c r="V62" i="5"/>
  <c r="X14" i="5"/>
  <c r="X45" i="5"/>
  <c r="X62" i="5"/>
  <c r="X14" i="9"/>
  <c r="N14" i="9"/>
  <c r="N45" i="9"/>
  <c r="N62" i="9"/>
  <c r="N14" i="5"/>
  <c r="N45" i="5"/>
  <c r="N62" i="5"/>
  <c r="U14" i="9"/>
  <c r="U14" i="5"/>
  <c r="U45" i="5"/>
  <c r="U62" i="5"/>
  <c r="P14" i="5"/>
  <c r="P45" i="5"/>
  <c r="P62" i="5"/>
  <c r="P14" i="9"/>
  <c r="P45" i="9"/>
  <c r="P62" i="9"/>
  <c r="Y44" i="9"/>
  <c r="X44" i="9"/>
  <c r="X61" i="9"/>
  <c r="U44" i="9"/>
  <c r="U61" i="9"/>
  <c r="H14" i="9"/>
  <c r="H45" i="9"/>
  <c r="H62" i="9"/>
  <c r="H14" i="5"/>
  <c r="H45" i="5"/>
  <c r="H62" i="5"/>
  <c r="L14" i="9"/>
  <c r="L45" i="9"/>
  <c r="L62" i="9"/>
  <c r="L14" i="5"/>
  <c r="L45" i="5"/>
  <c r="L62" i="5"/>
  <c r="J14" i="5"/>
  <c r="J45" i="5"/>
  <c r="J62" i="5"/>
  <c r="J14" i="9"/>
  <c r="J45" i="9"/>
  <c r="J62" i="9"/>
  <c r="T14" i="9"/>
  <c r="T14" i="5"/>
  <c r="T45" i="5"/>
  <c r="T62" i="5"/>
  <c r="T44" i="9"/>
  <c r="F13" i="9"/>
  <c r="F44" i="9"/>
  <c r="F61" i="9"/>
  <c r="F13" i="5"/>
  <c r="F44" i="5"/>
  <c r="F61" i="5"/>
  <c r="F12" i="4"/>
  <c r="F12" i="7"/>
  <c r="A62" i="9"/>
  <c r="AD29" i="9"/>
  <c r="R57" i="9"/>
  <c r="AA24" i="9"/>
  <c r="Y57" i="9"/>
  <c r="Y59" i="9"/>
  <c r="Y55" i="9"/>
  <c r="AF25" i="9"/>
  <c r="AF23" i="9"/>
  <c r="AF26" i="9"/>
  <c r="R63" i="9"/>
  <c r="B24" i="20"/>
  <c r="F24" i="20"/>
  <c r="Y61" i="9"/>
  <c r="AB28" i="9"/>
  <c r="C22" i="20"/>
  <c r="G22" i="20" s="1"/>
  <c r="Y56" i="9"/>
  <c r="C17" i="20"/>
  <c r="F17" i="20" s="1"/>
  <c r="F19" i="20"/>
  <c r="X43" i="9"/>
  <c r="X60" i="9"/>
  <c r="I9" i="20"/>
  <c r="W14" i="5"/>
  <c r="W45" i="5"/>
  <c r="W62" i="5"/>
  <c r="R61" i="9"/>
  <c r="AA28" i="9"/>
  <c r="R58" i="9"/>
  <c r="AA25" i="9"/>
  <c r="R55" i="9"/>
  <c r="AA22" i="9"/>
  <c r="S14" i="5"/>
  <c r="S45" i="5"/>
  <c r="S62" i="5"/>
  <c r="M14" i="5"/>
  <c r="M45" i="5"/>
  <c r="M62" i="5"/>
  <c r="Y14" i="7"/>
  <c r="Y14" i="9"/>
  <c r="R59" i="9"/>
  <c r="AA26" i="9"/>
  <c r="O14" i="5"/>
  <c r="O45" i="5"/>
  <c r="O62" i="5"/>
  <c r="R56" i="9"/>
  <c r="AA23" i="9"/>
  <c r="T60" i="9"/>
  <c r="T61" i="9"/>
  <c r="H11" i="20"/>
  <c r="V63" i="9"/>
  <c r="V57" i="9"/>
  <c r="V54" i="9"/>
  <c r="S63" i="9"/>
  <c r="S58" i="9"/>
  <c r="V58" i="9"/>
  <c r="K14" i="5"/>
  <c r="K45" i="5"/>
  <c r="K62" i="5"/>
  <c r="T63" i="9"/>
  <c r="T55" i="9"/>
  <c r="T59" i="9"/>
  <c r="T57" i="9"/>
  <c r="T58" i="9"/>
  <c r="T56" i="9"/>
  <c r="U43" i="9"/>
  <c r="U60" i="9"/>
  <c r="E9" i="20"/>
  <c r="R9" i="20"/>
  <c r="B9" i="20"/>
  <c r="Q9" i="20"/>
  <c r="R43" i="9"/>
  <c r="AE27" i="9"/>
  <c r="C9" i="20"/>
  <c r="S43" i="9"/>
  <c r="S60" i="9"/>
  <c r="D9" i="20"/>
  <c r="G14" i="5"/>
  <c r="G45" i="5"/>
  <c r="G62" i="5"/>
  <c r="F9" i="20"/>
  <c r="R14" i="5"/>
  <c r="R45" i="5"/>
  <c r="R62" i="5"/>
  <c r="R14" i="7"/>
  <c r="R14" i="9"/>
  <c r="V43" i="9"/>
  <c r="V60" i="9"/>
  <c r="C11" i="20"/>
  <c r="F11" i="20"/>
  <c r="D11" i="20"/>
  <c r="AB21" i="9"/>
  <c r="Y45" i="9"/>
  <c r="I11" i="20"/>
  <c r="R11" i="20"/>
  <c r="E11" i="20"/>
  <c r="B11" i="20"/>
  <c r="Q11" i="20"/>
  <c r="G11" i="20"/>
  <c r="AB24" i="9"/>
  <c r="T45" i="9"/>
  <c r="T62" i="9"/>
  <c r="F14" i="4"/>
  <c r="F14" i="7"/>
  <c r="F12" i="9"/>
  <c r="F43" i="9"/>
  <c r="F60" i="9"/>
  <c r="F12" i="5"/>
  <c r="F43" i="5"/>
  <c r="F60" i="5"/>
  <c r="AE29" i="9"/>
  <c r="R45" i="9"/>
  <c r="E13" i="9"/>
  <c r="E44" i="9"/>
  <c r="E61" i="9"/>
  <c r="E13" i="5"/>
  <c r="E44" i="5"/>
  <c r="E61" i="5"/>
  <c r="E12" i="4"/>
  <c r="E12" i="7"/>
  <c r="AF29" i="9"/>
  <c r="U45" i="9"/>
  <c r="U62" i="9"/>
  <c r="X45" i="9"/>
  <c r="X62" i="9"/>
  <c r="W45" i="9"/>
  <c r="W62" i="9"/>
  <c r="S45" i="9"/>
  <c r="S62" i="9"/>
  <c r="V45" i="9"/>
  <c r="V62" i="9"/>
  <c r="AB23" i="9"/>
  <c r="AF27" i="9"/>
  <c r="AB26" i="9"/>
  <c r="AB22" i="9"/>
  <c r="AB25" i="9"/>
  <c r="R60" i="9"/>
  <c r="AA27" i="9"/>
  <c r="B21" i="20"/>
  <c r="F21" i="20" s="1"/>
  <c r="R62" i="9"/>
  <c r="AA29" i="9"/>
  <c r="B23" i="20"/>
  <c r="Y62" i="9"/>
  <c r="C23" i="20"/>
  <c r="F23" i="20" s="1"/>
  <c r="AB27" i="9"/>
  <c r="AB29" i="9"/>
  <c r="E14" i="4"/>
  <c r="E14" i="7"/>
  <c r="E12" i="9"/>
  <c r="E43" i="9"/>
  <c r="E60" i="9"/>
  <c r="E12" i="5"/>
  <c r="E43" i="5"/>
  <c r="E60" i="5"/>
  <c r="D13" i="9"/>
  <c r="D44" i="9"/>
  <c r="D61" i="9"/>
  <c r="D13" i="5"/>
  <c r="D44" i="5"/>
  <c r="D61" i="5"/>
  <c r="D12" i="4"/>
  <c r="D12" i="7"/>
  <c r="F14" i="9"/>
  <c r="F45" i="9"/>
  <c r="F62" i="9"/>
  <c r="F14" i="5"/>
  <c r="F45" i="5"/>
  <c r="F62" i="5"/>
  <c r="C13" i="9"/>
  <c r="C44" i="9"/>
  <c r="C61" i="9"/>
  <c r="C13" i="5"/>
  <c r="C44" i="5"/>
  <c r="C61" i="5"/>
  <c r="C12" i="4"/>
  <c r="C12" i="7"/>
  <c r="D12" i="9"/>
  <c r="D43" i="9"/>
  <c r="D60" i="9"/>
  <c r="D12" i="5"/>
  <c r="D43" i="5"/>
  <c r="D60" i="5"/>
  <c r="D14" i="4"/>
  <c r="D14" i="7"/>
  <c r="E14" i="9"/>
  <c r="E45" i="9"/>
  <c r="E62" i="9"/>
  <c r="E14" i="5"/>
  <c r="E45" i="5"/>
  <c r="E62" i="5"/>
  <c r="D14" i="9"/>
  <c r="D45" i="9"/>
  <c r="D62" i="9"/>
  <c r="D14" i="5"/>
  <c r="D45" i="5"/>
  <c r="D62" i="5"/>
  <c r="C12" i="9"/>
  <c r="C43" i="9"/>
  <c r="C60" i="9"/>
  <c r="C12" i="5"/>
  <c r="C43" i="5"/>
  <c r="C60" i="5"/>
  <c r="C14" i="4"/>
  <c r="C14" i="7"/>
  <c r="B12" i="4"/>
  <c r="B12" i="7"/>
  <c r="B13" i="9"/>
  <c r="P10" i="20"/>
  <c r="B13" i="5"/>
  <c r="B44" i="5"/>
  <c r="B61" i="5"/>
  <c r="B44" i="9"/>
  <c r="B61" i="9"/>
  <c r="B12" i="9"/>
  <c r="P9" i="20"/>
  <c r="B12" i="5"/>
  <c r="B43" i="5"/>
  <c r="B60" i="5"/>
  <c r="B14" i="4"/>
  <c r="B14" i="7"/>
  <c r="C14" i="5"/>
  <c r="C45" i="5"/>
  <c r="C62" i="5"/>
  <c r="C14" i="9"/>
  <c r="C45" i="9"/>
  <c r="C62" i="9"/>
  <c r="B14" i="5"/>
  <c r="B45" i="5"/>
  <c r="B62" i="5"/>
  <c r="B14" i="9"/>
  <c r="P11" i="20"/>
  <c r="B43" i="9"/>
  <c r="B60" i="9"/>
  <c r="B45" i="9"/>
  <c r="B62" i="9"/>
  <c r="E5" i="21"/>
  <c r="D5" i="21"/>
  <c r="G5" i="21"/>
  <c r="F5" i="21"/>
  <c r="C5" i="21"/>
  <c r="L8" i="20" l="1"/>
  <c r="J5" i="20"/>
  <c r="Z39" i="9"/>
  <c r="AA7" i="5"/>
  <c r="AA14" i="4"/>
  <c r="AA14" i="5" s="1"/>
  <c r="AA7" i="7"/>
  <c r="AA7" i="9" s="1"/>
  <c r="AC10" i="5"/>
  <c r="AC10" i="7"/>
  <c r="AC10" i="9" s="1"/>
  <c r="AD11" i="5"/>
  <c r="AD11" i="7"/>
  <c r="AD11" i="9" s="1"/>
  <c r="AA41" i="9"/>
  <c r="AA58" i="9" s="1"/>
  <c r="K7" i="20"/>
  <c r="C43" i="20" s="1"/>
  <c r="L7" i="20"/>
  <c r="AB41" i="9"/>
  <c r="AB58" i="9" s="1"/>
  <c r="AD10" i="5"/>
  <c r="AD10" i="7"/>
  <c r="AD10" i="9" s="1"/>
  <c r="M8" i="20"/>
  <c r="AC42" i="9"/>
  <c r="AC59" i="9" s="1"/>
  <c r="AD40" i="9"/>
  <c r="N6" i="20"/>
  <c r="D30" i="20"/>
  <c r="F30" i="20" s="1"/>
  <c r="AC14" i="4"/>
  <c r="AC7" i="7"/>
  <c r="AC7" i="9" s="1"/>
  <c r="AC7" i="5"/>
  <c r="AA8" i="5"/>
  <c r="AA8" i="7"/>
  <c r="AA8" i="9" s="1"/>
  <c r="AB12" i="7"/>
  <c r="AB12" i="9" s="1"/>
  <c r="AB12" i="5"/>
  <c r="Z43" i="9"/>
  <c r="J9" i="20"/>
  <c r="AC8" i="7"/>
  <c r="AC8" i="9" s="1"/>
  <c r="AC8" i="5"/>
  <c r="Z11" i="7"/>
  <c r="Z11" i="9" s="1"/>
  <c r="Z11" i="5"/>
  <c r="Z14" i="4"/>
  <c r="AD12" i="7"/>
  <c r="AD12" i="9" s="1"/>
  <c r="AD12" i="5"/>
  <c r="L4" i="20"/>
  <c r="AB38" i="9"/>
  <c r="AB55" i="9" s="1"/>
  <c r="AA11" i="5"/>
  <c r="AA11" i="7"/>
  <c r="AA11" i="9" s="1"/>
  <c r="Z38" i="9"/>
  <c r="Z9" i="7"/>
  <c r="Z9" i="9" s="1"/>
  <c r="Z10" i="7"/>
  <c r="Z10" i="9" s="1"/>
  <c r="L5" i="20"/>
  <c r="D28" i="20"/>
  <c r="F28" i="20" s="1"/>
  <c r="AA10" i="5"/>
  <c r="AB7" i="5"/>
  <c r="AD8" i="4"/>
  <c r="AB10" i="5"/>
  <c r="AD38" i="9"/>
  <c r="AB9" i="7"/>
  <c r="AB9" i="9" s="1"/>
  <c r="AE16" i="1"/>
  <c r="AA12" i="7"/>
  <c r="AA12" i="9" s="1"/>
  <c r="Z8" i="5"/>
  <c r="Z12" i="5"/>
  <c r="AA9" i="7"/>
  <c r="AA9" i="9" s="1"/>
  <c r="AB6" i="7"/>
  <c r="AB6" i="9" s="1"/>
  <c r="AB14" i="4"/>
  <c r="AB6" i="5"/>
  <c r="AD14" i="4"/>
  <c r="AD6" i="5"/>
  <c r="AD6" i="7"/>
  <c r="AD6" i="9" s="1"/>
  <c r="AC37" i="9"/>
  <c r="AC54" i="9" s="1"/>
  <c r="AA14" i="7"/>
  <c r="AA14" i="9" s="1"/>
  <c r="AA45" i="9" s="1"/>
  <c r="AA62" i="9" s="1"/>
  <c r="Z6" i="7"/>
  <c r="Z6" i="9" s="1"/>
  <c r="M5" i="20" l="1"/>
  <c r="AC39" i="9"/>
  <c r="AC56" i="9" s="1"/>
  <c r="K9" i="20"/>
  <c r="C45" i="20" s="1"/>
  <c r="AA43" i="9"/>
  <c r="AA60" i="9" s="1"/>
  <c r="D21" i="20"/>
  <c r="G21" i="20" s="1"/>
  <c r="Z60" i="9"/>
  <c r="M4" i="20"/>
  <c r="AC38" i="9"/>
  <c r="AC55" i="9" s="1"/>
  <c r="M7" i="20"/>
  <c r="AC41" i="9"/>
  <c r="AC58" i="9" s="1"/>
  <c r="AB40" i="9"/>
  <c r="AB57" i="9" s="1"/>
  <c r="L6" i="20"/>
  <c r="M6" i="20"/>
  <c r="Z41" i="9"/>
  <c r="J7" i="20"/>
  <c r="D33" i="20"/>
  <c r="F33" i="20" s="1"/>
  <c r="AD43" i="9"/>
  <c r="N9" i="20"/>
  <c r="AC14" i="5"/>
  <c r="AC14" i="7"/>
  <c r="AC14" i="9" s="1"/>
  <c r="AC45" i="9" s="1"/>
  <c r="AC62" i="9" s="1"/>
  <c r="J6" i="20"/>
  <c r="Z40" i="9"/>
  <c r="K4" i="20"/>
  <c r="C40" i="20" s="1"/>
  <c r="AA38" i="9"/>
  <c r="AA55" i="9" s="1"/>
  <c r="Z55" i="9"/>
  <c r="D16" i="20"/>
  <c r="G16" i="20" s="1"/>
  <c r="K6" i="20"/>
  <c r="C42" i="20" s="1"/>
  <c r="AA40" i="9"/>
  <c r="AA57" i="9" s="1"/>
  <c r="AD8" i="7"/>
  <c r="AD8" i="9" s="1"/>
  <c r="AD8" i="5"/>
  <c r="K8" i="20"/>
  <c r="C44" i="20" s="1"/>
  <c r="AA42" i="9"/>
  <c r="AA59" i="9" s="1"/>
  <c r="Z42" i="9"/>
  <c r="J8" i="20"/>
  <c r="AB43" i="9"/>
  <c r="AB60" i="9" s="1"/>
  <c r="M9" i="20"/>
  <c r="L9" i="20"/>
  <c r="O9" i="20" s="1"/>
  <c r="D45" i="20" s="1"/>
  <c r="E18" i="20"/>
  <c r="AD57" i="9"/>
  <c r="N8" i="20"/>
  <c r="AD42" i="9"/>
  <c r="D32" i="20"/>
  <c r="F32" i="20" s="1"/>
  <c r="N7" i="20"/>
  <c r="D31" i="20"/>
  <c r="F31" i="20" s="1"/>
  <c r="AD41" i="9"/>
  <c r="AD55" i="9"/>
  <c r="E16" i="20"/>
  <c r="Z14" i="5"/>
  <c r="Z14" i="7"/>
  <c r="Z14" i="9" s="1"/>
  <c r="K5" i="20"/>
  <c r="C41" i="20" s="1"/>
  <c r="AA39" i="9"/>
  <c r="AA56" i="9" s="1"/>
  <c r="N4" i="20"/>
  <c r="D17" i="20"/>
  <c r="G17" i="20" s="1"/>
  <c r="Z56" i="9"/>
  <c r="AB14" i="5"/>
  <c r="AB14" i="7"/>
  <c r="AB14" i="9" s="1"/>
  <c r="L3" i="20"/>
  <c r="AB37" i="9"/>
  <c r="AB54" i="9" s="1"/>
  <c r="M3" i="20"/>
  <c r="K11" i="20"/>
  <c r="C47" i="20" s="1"/>
  <c r="AD14" i="5"/>
  <c r="AD14" i="7"/>
  <c r="AD14" i="9" s="1"/>
  <c r="AD37" i="9"/>
  <c r="N3" i="20"/>
  <c r="D27" i="20"/>
  <c r="F27" i="20" s="1"/>
  <c r="Z37" i="9"/>
  <c r="J3" i="20"/>
  <c r="K3" i="20"/>
  <c r="AD58" i="9" l="1"/>
  <c r="E19" i="20"/>
  <c r="Z57" i="9"/>
  <c r="D18" i="20"/>
  <c r="G18" i="20" s="1"/>
  <c r="O6" i="20"/>
  <c r="D42" i="20" s="1"/>
  <c r="E21" i="20"/>
  <c r="H21" i="20" s="1"/>
  <c r="AD60" i="9"/>
  <c r="J11" i="20"/>
  <c r="Z45" i="9"/>
  <c r="O7" i="20"/>
  <c r="D43" i="20" s="1"/>
  <c r="AD59" i="9"/>
  <c r="E20" i="20"/>
  <c r="Z58" i="9"/>
  <c r="D19" i="20"/>
  <c r="G19" i="20" s="1"/>
  <c r="H16" i="20"/>
  <c r="AD39" i="9"/>
  <c r="N5" i="20"/>
  <c r="O5" i="20" s="1"/>
  <c r="D41" i="20" s="1"/>
  <c r="D29" i="20"/>
  <c r="F29" i="20" s="1"/>
  <c r="O8" i="20"/>
  <c r="D44" i="20" s="1"/>
  <c r="Z59" i="9"/>
  <c r="D20" i="20"/>
  <c r="G20" i="20" s="1"/>
  <c r="O4" i="20"/>
  <c r="D40" i="20" s="1"/>
  <c r="AD45" i="9"/>
  <c r="N11" i="20"/>
  <c r="D35" i="20"/>
  <c r="F35" i="20" s="1"/>
  <c r="E15" i="20"/>
  <c r="AD54" i="9"/>
  <c r="L11" i="20"/>
  <c r="AB45" i="9"/>
  <c r="AB62" i="9" s="1"/>
  <c r="M11" i="20"/>
  <c r="O3" i="20"/>
  <c r="D39" i="20" s="1"/>
  <c r="D15" i="20"/>
  <c r="Z54" i="9"/>
  <c r="H20" i="20" l="1"/>
  <c r="E17" i="20"/>
  <c r="H17" i="20" s="1"/>
  <c r="AD56" i="9"/>
  <c r="H18" i="20"/>
  <c r="D23" i="20"/>
  <c r="G23" i="20" s="1"/>
  <c r="Z62" i="9"/>
  <c r="H19" i="20"/>
  <c r="AD62" i="9"/>
  <c r="E23" i="20"/>
  <c r="O11" i="20"/>
  <c r="D47" i="20" s="1"/>
  <c r="G15" i="20"/>
  <c r="H15" i="20"/>
  <c r="H23" i="20" l="1"/>
</calcChain>
</file>

<file path=xl/sharedStrings.xml><?xml version="1.0" encoding="utf-8"?>
<sst xmlns="http://schemas.openxmlformats.org/spreadsheetml/2006/main" count="1162" uniqueCount="225">
  <si>
    <t>Core Crown Expenses</t>
  </si>
  <si>
    <t>1993⁸‡</t>
  </si>
  <si>
    <t>1994⁸‡</t>
  </si>
  <si>
    <t>1995⁸‡</t>
  </si>
  <si>
    <t>1996⁸‡</t>
  </si>
  <si>
    <t>1997⁸‡</t>
  </si>
  <si>
    <t>1998⁸‡</t>
  </si>
  <si>
    <t>1999⁸‡</t>
  </si>
  <si>
    <t>2000⁸‡</t>
  </si>
  <si>
    <t>2001⁷‡ⁱ</t>
  </si>
  <si>
    <t>2002⁷‡</t>
  </si>
  <si>
    <t>2003⁶</t>
  </si>
  <si>
    <t>2004⁵</t>
  </si>
  <si>
    <t>2005⁵</t>
  </si>
  <si>
    <t>2006⁵</t>
  </si>
  <si>
    <t>2007⁵</t>
  </si>
  <si>
    <t>2008⁴</t>
  </si>
  <si>
    <t>2009³</t>
  </si>
  <si>
    <t>2010³</t>
  </si>
  <si>
    <t>2011³</t>
  </si>
  <si>
    <t>2012³</t>
  </si>
  <si>
    <t>2013³</t>
  </si>
  <si>
    <t>2015²</t>
  </si>
  <si>
    <t>2016¹</t>
  </si>
  <si>
    <t>Actual</t>
  </si>
  <si>
    <t>$m</t>
  </si>
  <si>
    <t>By functional classification</t>
  </si>
  <si>
    <t>Defence</t>
  </si>
  <si>
    <t>Education</t>
  </si>
  <si>
    <t>Finance costs</t>
  </si>
  <si>
    <t>Health</t>
  </si>
  <si>
    <t>Law and order</t>
  </si>
  <si>
    <t>Welfare</t>
  </si>
  <si>
    <t>NZ super</t>
  </si>
  <si>
    <t>All other</t>
  </si>
  <si>
    <t>Total core Crown expenses excluding losses</t>
  </si>
  <si>
    <t>Notes:</t>
  </si>
  <si>
    <t>*Not present before 2008. BEFU 2013 Crown Expense Tables extracted "Environmental Protection" from "Heritage, Culture and Recreation" back to 2008</t>
  </si>
  <si>
    <t>†Category not included later than 2002 due to adjustment in the BEFU 2008 to historical figures on a NZ IFRS basis for material changes.</t>
  </si>
  <si>
    <t>‡Historical figures later than 2003 have been adjusted by the BEFU 2008 on a NZ IFRS basis for material changes. Figures later than 2003 have not been likewise adjusted.</t>
  </si>
  <si>
    <t xml:space="preserve">ⁱFigures for 2001 presented here were retrieved from Treasury's BEFU 2006. Figures there are inconsistent with those presented on Stats NZ's Infoshare website. The historical figures given in 2006 have been preferred. </t>
  </si>
  <si>
    <t>Sources:</t>
  </si>
  <si>
    <t>¹From http://www.treasury.govt.nz/budget/forecasts/hyefu2016/061.htm</t>
  </si>
  <si>
    <t>²From http://www.treasury.govt.nz/budget/forecasts/hyefu2015/058.htm</t>
  </si>
  <si>
    <t>³From http://www.treasury.govt.nz/budget/forecasts/befu2014/080.htm</t>
  </si>
  <si>
    <t>⁴From http://www.treasury.govt.nz/budget/forecasts/befu2013/079.htm</t>
  </si>
  <si>
    <t>⁵From http://www.treasury.govt.nz/budget/forecasts/befu2009/080.htm</t>
  </si>
  <si>
    <t>⁶From http://www.treasury.govt.nz/budget/forecasts/befu2008/58.htm</t>
  </si>
  <si>
    <t>⁷From http://www.treasury.govt.nz/budget/2006/pdfs/befu06-exp.pdf</t>
  </si>
  <si>
    <t>⁸From http://www.stats.govt.nz/infoshare/ViewTable.aspx?pxID=37f87e16-6870-4143-84b0-f4b48eda98ba</t>
  </si>
  <si>
    <t>Annual</t>
  </si>
  <si>
    <t>$ per capita</t>
  </si>
  <si>
    <t>Weekly</t>
  </si>
  <si>
    <t xml:space="preserve">$ per week </t>
  </si>
  <si>
    <t>per capita</t>
  </si>
  <si>
    <t>Percent</t>
  </si>
  <si>
    <t>%</t>
  </si>
  <si>
    <t>Share of total</t>
  </si>
  <si>
    <t>Real spending in 2016 dollars</t>
  </si>
  <si>
    <t>Real</t>
  </si>
  <si>
    <t>Annual in 2016 dollars</t>
  </si>
  <si>
    <t>Percentage point change in real per capita spendng shares</t>
  </si>
  <si>
    <t>5th Labour</t>
  </si>
  <si>
    <t>5th National</t>
  </si>
  <si>
    <t>Real per capita growth rates</t>
  </si>
  <si>
    <t>Annual growth rates</t>
  </si>
  <si>
    <t>Historic average (1993 to 2016</t>
  </si>
  <si>
    <t>2000 to 2009</t>
  </si>
  <si>
    <t>Since 2009</t>
  </si>
  <si>
    <t>2009 to 2016</t>
  </si>
  <si>
    <t>2016 to 2017</t>
  </si>
  <si>
    <t>2016 to 2021</t>
  </si>
  <si>
    <t>Core govt services</t>
  </si>
  <si>
    <t>Function</t>
  </si>
  <si>
    <t>Average over budget</t>
  </si>
  <si>
    <t>NZ Super per 65+</t>
  </si>
  <si>
    <t>Nominal</t>
  </si>
  <si>
    <t>Note: From 1992 to 2001 the age of entilement was gradually increased to 65+</t>
  </si>
  <si>
    <t>Note: doesn’t include surcharge</t>
  </si>
  <si>
    <t>Super and welfare</t>
  </si>
  <si>
    <t>Jobseeker Support</t>
  </si>
  <si>
    <t>Sole Parent Support</t>
  </si>
  <si>
    <t>Supported Living Payment</t>
  </si>
  <si>
    <t>NZ Super</t>
  </si>
  <si>
    <t>Nominal per student</t>
  </si>
  <si>
    <t>Real per student</t>
  </si>
  <si>
    <t>Total crown</t>
  </si>
  <si>
    <t>Tax revenue</t>
  </si>
  <si>
    <t>Other revenue</t>
  </si>
  <si>
    <t>Total Revenue</t>
  </si>
  <si>
    <t>Expenses</t>
  </si>
  <si>
    <t>OBEGAL</t>
  </si>
  <si>
    <t>2017Q1</t>
  </si>
  <si>
    <t>Total</t>
  </si>
  <si>
    <t>65+</t>
  </si>
  <si>
    <t>Source</t>
  </si>
  <si>
    <t xml:space="preserve">DPEA.SG1CTOTJ </t>
  </si>
  <si>
    <t>Projections</t>
  </si>
  <si>
    <t>2016</t>
  </si>
  <si>
    <t>2017</t>
  </si>
  <si>
    <t>2018</t>
  </si>
  <si>
    <t>2019</t>
  </si>
  <si>
    <t>2020</t>
  </si>
  <si>
    <t>2021</t>
  </si>
  <si>
    <t>2022</t>
  </si>
  <si>
    <t>2023</t>
  </si>
  <si>
    <t>All groups</t>
  </si>
  <si>
    <t>2016 $</t>
  </si>
  <si>
    <t xml:space="preserve">Table information: </t>
  </si>
  <si>
    <t>Units:</t>
  </si>
  <si>
    <t>Index, Magnitude = Units</t>
  </si>
  <si>
    <t>Footnotes:</t>
  </si>
  <si>
    <t>From the September 1999 quarter residential sections and interest are excluded.</t>
  </si>
  <si>
    <t>Percentage changes are calculated from index numbers which are unrounded prior to the June 2006 quarter.</t>
  </si>
  <si>
    <t>Base: June 2006 quarter (=1000).</t>
  </si>
  <si>
    <t>From the September 2006 quarter, prices for fresh fruit and vegetables are seasonally unadjusted. They were seasonally adjusted until the June 2006 quarter.</t>
  </si>
  <si>
    <t>Symbols:</t>
  </si>
  <si>
    <t>.. figure not available</t>
  </si>
  <si>
    <t>C: Confidential</t>
  </si>
  <si>
    <t>E: Early Estimate</t>
  </si>
  <si>
    <t>P: Provisional</t>
  </si>
  <si>
    <t>R: Revised</t>
  </si>
  <si>
    <t>S: Suppressed</t>
  </si>
  <si>
    <t>Status flags are not displayed</t>
  </si>
  <si>
    <t>Table reference:</t>
  </si>
  <si>
    <t>CPI009AA</t>
  </si>
  <si>
    <t>Last updated:</t>
  </si>
  <si>
    <t>20 April 2017 10:45am</t>
  </si>
  <si>
    <t>Source: Statistics New Zealand</t>
  </si>
  <si>
    <t>Contact: Information Centre</t>
  </si>
  <si>
    <t>Telephone: 0508 525 525</t>
  </si>
  <si>
    <t>Email:info@stats.govt.nz</t>
  </si>
  <si>
    <t>New Zealand Superannuation</t>
  </si>
  <si>
    <t>Growth rate in NZ super pre1999</t>
  </si>
  <si>
    <t>.</t>
  </si>
  <si>
    <t>Economic and industrial services</t>
  </si>
  <si>
    <t>Environmental protection*</t>
  </si>
  <si>
    <t>GSF pension expenses</t>
  </si>
  <si>
    <t>..</t>
  </si>
  <si>
    <t>Heritage, culture and recreation</t>
  </si>
  <si>
    <t>Housing and community development</t>
  </si>
  <si>
    <t>Net foreign exchange gains/losses†</t>
  </si>
  <si>
    <t> .. </t>
  </si>
  <si>
    <t>Other</t>
  </si>
  <si>
    <t>Primary services</t>
  </si>
  <si>
    <t>Social security and welfare</t>
  </si>
  <si>
    <t>Transport and communications</t>
  </si>
  <si>
    <t>Student Roll by School Authority as at 1 July 1996 - 2016</t>
  </si>
  <si>
    <t>Authority</t>
  </si>
  <si>
    <t>State: Not integrated</t>
  </si>
  <si>
    <t>State: Integrated</t>
  </si>
  <si>
    <t>Private: Fully Reg.</t>
  </si>
  <si>
    <t>Private: Prov.Reg.</t>
  </si>
  <si>
    <t>Other : Vote Ed.</t>
  </si>
  <si>
    <t>Partnership School</t>
  </si>
  <si>
    <t>https://www.educationcounts.govt.nz/statistics/schooling/student-numbers/6028</t>
  </si>
  <si>
    <t>Tetriary</t>
  </si>
  <si>
    <t>Year</t>
  </si>
  <si>
    <t>Public providers</t>
  </si>
  <si>
    <t>Domestic</t>
  </si>
  <si>
    <t>International</t>
  </si>
  <si>
    <t>Public and private training establishments</t>
  </si>
  <si>
    <t>https://www.educationcounts.govt.nz/statistics/tertiary-education/participation</t>
  </si>
  <si>
    <t>Total state students</t>
  </si>
  <si>
    <t>Carried forward</t>
  </si>
  <si>
    <t>Years</t>
  </si>
  <si>
    <t>2012</t>
  </si>
  <si>
    <t>2013</t>
  </si>
  <si>
    <t>2014</t>
  </si>
  <si>
    <t>2015</t>
  </si>
  <si>
    <t>Quarters</t>
  </si>
  <si>
    <t>Qtr1</t>
  </si>
  <si>
    <t>Qtr2</t>
  </si>
  <si>
    <t>Qtr3</t>
  </si>
  <si>
    <t>Qtr4</t>
  </si>
  <si>
    <t>Other Main Benefits</t>
  </si>
  <si>
    <t>Youth Payment and Young Parent Payment</t>
  </si>
  <si>
    <t>Annual average</t>
  </si>
  <si>
    <t>https://www.msd.govt.nz/about-msd-and-our-work/publications-resources/statistics/benefit/latest-quarterly-results/csv-data-tables.html</t>
  </si>
  <si>
    <t>Welfare Benefit Expenses</t>
  </si>
  <si>
    <t>All figures in $m, and are taken from the most recent HYEFU/BEFU in which that year appears.</t>
  </si>
  <si>
    <t>Accommodation Assistance</t>
  </si>
  <si>
    <t>Benefits paid in Australia</t>
  </si>
  <si>
    <t>Disability Assistance</t>
  </si>
  <si>
    <r>
      <t>Family Tax Credit</t>
    </r>
    <r>
      <rPr>
        <b/>
        <sz val="11"/>
        <color theme="1"/>
        <rFont val="Calibri"/>
        <family val="2"/>
      </rPr>
      <t>†</t>
    </r>
  </si>
  <si>
    <t>Income-Related Rents</t>
  </si>
  <si>
    <t>Paid Parental Leave</t>
  </si>
  <si>
    <t>Jobseeker Support and Emergency Benefit</t>
  </si>
  <si>
    <t>Other working for families tax credits*</t>
  </si>
  <si>
    <t xml:space="preserve">.. </t>
  </si>
  <si>
    <t>Childcare Assistance</t>
  </si>
  <si>
    <t>Veteran's Pension</t>
  </si>
  <si>
    <t>Veterans Support Entitlement</t>
  </si>
  <si>
    <t>Domestic Purposes Benefit</t>
  </si>
  <si>
    <t>Invalid's Benefit</t>
  </si>
  <si>
    <t>Sickness Benefit</t>
  </si>
  <si>
    <t>Unemployment Benefit</t>
  </si>
  <si>
    <t>.. </t>
  </si>
  <si>
    <t>In Work Tax Credit</t>
  </si>
  <si>
    <t>Child Tax Credit</t>
  </si>
  <si>
    <t>Special Benefit</t>
  </si>
  <si>
    <t>Transitional Retirement Benefit</t>
  </si>
  <si>
    <t>Community Wage</t>
  </si>
  <si>
    <t>Other Benefits</t>
  </si>
  <si>
    <t>Benefit Expenses (Total)</t>
  </si>
  <si>
    <t>*As of the HYEFU 2013 the 'Other working for families tax credits' line item was established. This incorporated the 'In Work Tax Credit', the 'Child Tax Credit' a small portion of the 'Family Tax Credit' and some other benefits usually included in the 'Other benefits' category. Thus, inclusion of the figures for the 'In Work Tax Credit' and 'Child Tax Credit' for the years 2009 and later will result in double-counting. I have left those figures included in red text, so that they can be pulled out in charts and the like, but do NOT count them toward those years' totals. 'Other benefits' and 'Family Tax Credit' lines use figures with the portion captured by 'Other working for families tax credits' already subtracted, so shouldn't effect the totals. See the numbers from HYEFU 2012 in the 'all data' sheet for the numbers before that line was introduced.</t>
  </si>
  <si>
    <t>†For some reason, in HYEFU 2014 they changed what they counted into the Family Tax Credit. Some was shuffled into the 'Other working for families tax credits' ($1m in the first year), and the rest into 'Other Benefits' ($8m in the first year). Figures for 2010-2016 all use the later figures, and thus the more modern accounting.</t>
  </si>
  <si>
    <t>Forecast Fiscal Year (year from 1 July to the following 30 June)</t>
  </si>
  <si>
    <t>2016/17</t>
  </si>
  <si>
    <t>2017/18</t>
  </si>
  <si>
    <t>2018/19</t>
  </si>
  <si>
    <t>2019/20</t>
  </si>
  <si>
    <t>2020/21</t>
  </si>
  <si>
    <t>Forecast New Operating Spending ($ billions)</t>
  </si>
  <si>
    <t>Top-down expense adjustment ($ billions)</t>
  </si>
  <si>
    <t>Total unallocated new operating spending ($ billions)</t>
  </si>
  <si>
    <t>Allocation</t>
  </si>
  <si>
    <t>CORE CROWN EXPENDITURE CLASS</t>
  </si>
  <si>
    <t>Percentage</t>
  </si>
  <si>
    <t>Core government services</t>
  </si>
  <si>
    <t>Environmental protection</t>
  </si>
  <si>
    <t>Social security and welfare departmental and non-departmental</t>
  </si>
  <si>
    <t>2017 to 2018</t>
  </si>
  <si>
    <t>2017 to 2021</t>
  </si>
  <si>
    <t>2017 to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</si>
</sst>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quot;$&quot;* #,##0.00_);_(&quot;$&quot;* \(#,##0.00\);_(&quot;$&quot;* &quot;-&quot;??_);_(@_)"/>
    <numFmt numFmtId="165" formatCode="_(* #,##0.00_);_(* \(#,##0.00\);_(* &quot;-&quot;??_);_(@_)"/>
    <numFmt numFmtId="166" formatCode="_-* #,##0_-;\-* #,##0_-;_-* &quot;-&quot;??_-;_-@_-"/>
    <numFmt numFmtId="167" formatCode="yyyy"/>
    <numFmt numFmtId="168" formatCode="0.0%"/>
    <numFmt numFmtId="169" formatCode="&quot;$&quot;#,##0.00"/>
    <numFmt numFmtId="170" formatCode="0.000"/>
    <numFmt numFmtId="171" formatCode="0.0"/>
    <numFmt numFmtId="172" formatCode="_(&quot;$&quot;* #,##0.0_);_(&quot;$&quot;* \(#,##0.0\);_(&quot;$&quot;* &quot;-&quot;??_);_(@_)"/>
  </numFmts>
  <fonts count="3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1"/>
      <color theme="1"/>
      <name val="Calibri"/>
      <family val="2"/>
    </font>
    <font>
      <sz val="10"/>
      <name val="Arial"/>
      <family val="2"/>
    </font>
    <font>
      <u/>
      <sz val="8"/>
      <name val="Verdana"/>
      <family val="2"/>
    </font>
    <font>
      <sz val="8"/>
      <name val="Verdana"/>
      <family val="2"/>
    </font>
    <font>
      <sz val="8"/>
      <name val="Arial"/>
      <family val="2"/>
    </font>
    <font>
      <b/>
      <sz val="11"/>
      <color rgb="FFFF0000"/>
      <name val="Calibri"/>
      <family val="2"/>
      <scheme val="minor"/>
    </font>
    <font>
      <b/>
      <sz val="11"/>
      <color theme="1"/>
      <name val="Calibri"/>
      <family val="2"/>
    </font>
    <font>
      <b/>
      <sz val="18"/>
      <color theme="3"/>
      <name val="Calibri Light"/>
      <family val="2"/>
      <scheme val="major"/>
    </font>
    <font>
      <sz val="11"/>
      <color rgb="FF9C6500"/>
      <name val="Calibri"/>
      <family val="2"/>
      <scheme val="minor"/>
    </font>
    <font>
      <u/>
      <sz val="11"/>
      <color rgb="FF0000FF"/>
      <name val="Calibri"/>
      <family val="2"/>
      <scheme val="minor"/>
    </font>
    <font>
      <sz val="8"/>
      <color rgb="FF000000"/>
      <name val="Arial"/>
      <family val="2"/>
    </font>
    <font>
      <b/>
      <sz val="8"/>
      <color rgb="FF000000"/>
      <name val="Arial"/>
      <family val="2"/>
    </font>
    <font>
      <b/>
      <i/>
      <sz val="11"/>
      <name val="Arial"/>
      <family val="2"/>
    </font>
    <font>
      <sz val="11"/>
      <color theme="1"/>
      <name val="Arial"/>
      <family val="2"/>
    </font>
    <font>
      <sz val="11"/>
      <color rgb="FFFF0000"/>
      <name val="Arial"/>
      <family val="2"/>
    </font>
    <font>
      <b/>
      <sz val="11"/>
      <color theme="1"/>
      <name val="Arial"/>
      <family val="2"/>
    </font>
    <font>
      <b/>
      <sz val="11"/>
      <color rgb="FFFF0000"/>
      <name val="Arial"/>
      <family val="2"/>
    </font>
    <font>
      <sz val="11"/>
      <color rgb="FF0000FF"/>
      <name val="Arial"/>
      <family val="2"/>
    </font>
    <font>
      <b/>
      <sz val="13"/>
      <color theme="1"/>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7F7F6"/>
        <bgColor indexed="64"/>
      </patternFill>
    </fill>
    <fill>
      <patternFill patternType="solid">
        <fgColor indexed="9"/>
        <bgColor indexed="64"/>
      </patternFill>
    </fill>
    <fill>
      <patternFill patternType="solid">
        <fgColor theme="0" tint="-0.249977111117893"/>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right/>
      <top style="thin">
        <color indexed="64"/>
      </top>
      <bottom style="thin">
        <color indexed="64"/>
      </bottom>
      <diagonal/>
    </border>
  </borders>
  <cellStyleXfs count="48">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0" borderId="0"/>
    <xf numFmtId="0" fontId="25" fillId="0" borderId="0" applyNumberFormat="0" applyFill="0" applyBorder="0" applyAlignment="0" applyProtection="0"/>
    <xf numFmtId="0" fontId="26"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cellStyleXfs>
  <cellXfs count="203">
    <xf numFmtId="0" fontId="0" fillId="0" borderId="0" xfId="0"/>
    <xf numFmtId="0" fontId="0" fillId="34" borderId="11" xfId="0" applyFill="1" applyBorder="1"/>
    <xf numFmtId="0" fontId="0" fillId="33" borderId="11" xfId="0" applyFill="1" applyBorder="1"/>
    <xf numFmtId="1" fontId="17" fillId="34" borderId="11" xfId="1" applyNumberFormat="1" applyFont="1" applyFill="1" applyBorder="1" applyAlignment="1"/>
    <xf numFmtId="1" fontId="17" fillId="33" borderId="11" xfId="1" applyNumberFormat="1" applyFont="1" applyFill="1" applyBorder="1" applyAlignment="1"/>
    <xf numFmtId="166" fontId="17" fillId="34" borderId="11" xfId="1" applyNumberFormat="1" applyFont="1" applyFill="1" applyBorder="1" applyAlignment="1"/>
    <xf numFmtId="166" fontId="17" fillId="33" borderId="11" xfId="1" applyNumberFormat="1" applyFont="1" applyFill="1" applyBorder="1" applyAlignment="1"/>
    <xf numFmtId="1" fontId="17" fillId="34" borderId="12" xfId="1" applyNumberFormat="1" applyFont="1" applyFill="1" applyBorder="1" applyAlignment="1"/>
    <xf numFmtId="166" fontId="17" fillId="0" borderId="0" xfId="1" applyNumberFormat="1" applyFont="1" applyAlignment="1"/>
    <xf numFmtId="0" fontId="0" fillId="34" borderId="14" xfId="0" applyFill="1" applyBorder="1"/>
    <xf numFmtId="0" fontId="0" fillId="33" borderId="14" xfId="0" applyFill="1" applyBorder="1"/>
    <xf numFmtId="3" fontId="0" fillId="34" borderId="14" xfId="0" applyNumberFormat="1" applyFill="1" applyBorder="1"/>
    <xf numFmtId="3" fontId="0" fillId="33" borderId="14" xfId="0" applyNumberFormat="1" applyFill="1" applyBorder="1"/>
    <xf numFmtId="0" fontId="0" fillId="34" borderId="15" xfId="0" applyFill="1" applyBorder="1"/>
    <xf numFmtId="166" fontId="16" fillId="33" borderId="16" xfId="1" applyNumberFormat="1" applyFont="1" applyFill="1" applyBorder="1" applyAlignment="1"/>
    <xf numFmtId="0" fontId="0" fillId="34" borderId="17" xfId="0" applyFill="1" applyBorder="1"/>
    <xf numFmtId="0" fontId="0" fillId="33" borderId="17" xfId="0" applyFill="1" applyBorder="1"/>
    <xf numFmtId="0" fontId="0" fillId="34" borderId="18" xfId="0" applyFill="1" applyBorder="1"/>
    <xf numFmtId="0" fontId="0" fillId="0" borderId="19" xfId="0" applyBorder="1"/>
    <xf numFmtId="166" fontId="0" fillId="33" borderId="20" xfId="1" applyNumberFormat="1" applyFont="1" applyFill="1" applyBorder="1"/>
    <xf numFmtId="166" fontId="0" fillId="34" borderId="21" xfId="1" applyNumberFormat="1" applyFont="1" applyFill="1" applyBorder="1"/>
    <xf numFmtId="166" fontId="0" fillId="33" borderId="21" xfId="1" applyNumberFormat="1" applyFont="1" applyFill="1" applyBorder="1"/>
    <xf numFmtId="166" fontId="0" fillId="34" borderId="22" xfId="1" applyNumberFormat="1" applyFont="1" applyFill="1" applyBorder="1"/>
    <xf numFmtId="166" fontId="0" fillId="0" borderId="0" xfId="1" applyNumberFormat="1" applyFont="1" applyBorder="1"/>
    <xf numFmtId="166" fontId="0" fillId="33" borderId="13" xfId="1" applyNumberFormat="1" applyFont="1" applyFill="1" applyBorder="1"/>
    <xf numFmtId="166" fontId="0" fillId="34" borderId="14" xfId="1" applyNumberFormat="1" applyFont="1" applyFill="1" applyBorder="1"/>
    <xf numFmtId="166" fontId="0" fillId="33" borderId="14" xfId="1" applyNumberFormat="1" applyFont="1" applyFill="1" applyBorder="1"/>
    <xf numFmtId="166" fontId="0" fillId="34" borderId="15" xfId="1" applyNumberFormat="1" applyFont="1" applyFill="1" applyBorder="1"/>
    <xf numFmtId="166" fontId="0" fillId="0" borderId="0" xfId="1" applyNumberFormat="1" applyFont="1"/>
    <xf numFmtId="1" fontId="0" fillId="34" borderId="14" xfId="1" applyNumberFormat="1" applyFont="1" applyFill="1" applyBorder="1"/>
    <xf numFmtId="1" fontId="0" fillId="33" borderId="14" xfId="1" applyNumberFormat="1" applyFont="1" applyFill="1" applyBorder="1"/>
    <xf numFmtId="1" fontId="0" fillId="34" borderId="15" xfId="1" applyNumberFormat="1" applyFont="1" applyFill="1" applyBorder="1"/>
    <xf numFmtId="166" fontId="0" fillId="33" borderId="23" xfId="1" applyNumberFormat="1" applyFont="1" applyFill="1" applyBorder="1"/>
    <xf numFmtId="166" fontId="0" fillId="34" borderId="24" xfId="1" applyNumberFormat="1" applyFont="1" applyFill="1" applyBorder="1"/>
    <xf numFmtId="166" fontId="0" fillId="33" borderId="24" xfId="1" applyNumberFormat="1" applyFont="1" applyFill="1" applyBorder="1"/>
    <xf numFmtId="166" fontId="0" fillId="34" borderId="25" xfId="1" applyNumberFormat="1" applyFont="1" applyFill="1" applyBorder="1"/>
    <xf numFmtId="166" fontId="0" fillId="33" borderId="26" xfId="1" applyNumberFormat="1" applyFont="1" applyFill="1" applyBorder="1"/>
    <xf numFmtId="166" fontId="0" fillId="34" borderId="27" xfId="1" applyNumberFormat="1" applyFont="1" applyFill="1" applyBorder="1"/>
    <xf numFmtId="166" fontId="0" fillId="33" borderId="27" xfId="1" applyNumberFormat="1" applyFont="1" applyFill="1" applyBorder="1"/>
    <xf numFmtId="166" fontId="0" fillId="34" borderId="28" xfId="1" applyNumberFormat="1" applyFont="1" applyFill="1" applyBorder="1"/>
    <xf numFmtId="3" fontId="0" fillId="0" borderId="0" xfId="0" applyNumberFormat="1"/>
    <xf numFmtId="0" fontId="18" fillId="0" borderId="0" xfId="0" applyFont="1"/>
    <xf numFmtId="49" fontId="0" fillId="0" borderId="0" xfId="0" applyNumberFormat="1" applyAlignment="1">
      <alignment wrapText="1"/>
    </xf>
    <xf numFmtId="49" fontId="0" fillId="35" borderId="0" xfId="0" applyNumberFormat="1" applyFill="1" applyAlignment="1">
      <alignment vertical="center" wrapText="1"/>
    </xf>
    <xf numFmtId="49" fontId="14" fillId="0" borderId="0" xfId="0" applyNumberFormat="1" applyFont="1" applyAlignment="1">
      <alignment horizontal="center" vertical="center" wrapText="1"/>
    </xf>
    <xf numFmtId="167" fontId="17" fillId="34" borderId="12" xfId="1" applyNumberFormat="1" applyFont="1" applyFill="1" applyBorder="1" applyAlignment="1"/>
    <xf numFmtId="167" fontId="17" fillId="33" borderId="11" xfId="1" applyNumberFormat="1" applyFont="1" applyFill="1" applyBorder="1" applyAlignment="1"/>
    <xf numFmtId="167" fontId="17" fillId="0" borderId="0" xfId="1" applyNumberFormat="1" applyFont="1" applyAlignment="1"/>
    <xf numFmtId="0" fontId="20" fillId="36" borderId="29" xfId="37" applyFont="1" applyFill="1" applyBorder="1" applyAlignment="1">
      <alignment vertical="top" wrapText="1"/>
    </xf>
    <xf numFmtId="0" fontId="21" fillId="36" borderId="29" xfId="37" applyFont="1" applyFill="1" applyBorder="1" applyAlignment="1">
      <alignment vertical="top" wrapText="1"/>
    </xf>
    <xf numFmtId="0" fontId="22" fillId="35" borderId="29" xfId="37" applyNumberFormat="1" applyFont="1" applyFill="1" applyBorder="1" applyAlignment="1">
      <alignment horizontal="right"/>
    </xf>
    <xf numFmtId="3" fontId="12" fillId="0" borderId="0" xfId="0" applyNumberFormat="1" applyFont="1"/>
    <xf numFmtId="9" fontId="0" fillId="0" borderId="0" xfId="3" applyFont="1"/>
    <xf numFmtId="168" fontId="0" fillId="0" borderId="0" xfId="3" applyNumberFormat="1" applyFont="1"/>
    <xf numFmtId="9" fontId="0" fillId="0" borderId="0" xfId="3" applyFont="1" applyBorder="1"/>
    <xf numFmtId="0" fontId="0" fillId="0" borderId="0" xfId="0" applyBorder="1"/>
    <xf numFmtId="166" fontId="17" fillId="33" borderId="23" xfId="1" applyNumberFormat="1" applyFont="1" applyFill="1" applyBorder="1" applyAlignment="1"/>
    <xf numFmtId="0" fontId="14" fillId="33" borderId="30" xfId="0" applyFont="1" applyFill="1" applyBorder="1"/>
    <xf numFmtId="0" fontId="14" fillId="34" borderId="31" xfId="0" applyFont="1" applyFill="1" applyBorder="1"/>
    <xf numFmtId="0" fontId="14" fillId="33" borderId="32" xfId="0" applyFont="1" applyFill="1" applyBorder="1"/>
    <xf numFmtId="0" fontId="14" fillId="34" borderId="32" xfId="0" applyFont="1" applyFill="1" applyBorder="1"/>
    <xf numFmtId="0" fontId="14" fillId="34" borderId="33" xfId="0" applyFont="1" applyFill="1" applyBorder="1"/>
    <xf numFmtId="0" fontId="14" fillId="0" borderId="0" xfId="0" applyFont="1"/>
    <xf numFmtId="0" fontId="0" fillId="33" borderId="34" xfId="0" applyFill="1" applyBorder="1"/>
    <xf numFmtId="0" fontId="0" fillId="34" borderId="35" xfId="0" applyFill="1" applyBorder="1"/>
    <xf numFmtId="0" fontId="14" fillId="33" borderId="19" xfId="0" applyFont="1" applyFill="1" applyBorder="1"/>
    <xf numFmtId="0" fontId="14" fillId="34" borderId="19" xfId="0" applyFont="1" applyFill="1" applyBorder="1"/>
    <xf numFmtId="3" fontId="14" fillId="33" borderId="19" xfId="0" applyNumberFormat="1" applyFont="1" applyFill="1" applyBorder="1"/>
    <xf numFmtId="3" fontId="14" fillId="34" borderId="19" xfId="0" applyNumberFormat="1" applyFont="1" applyFill="1" applyBorder="1"/>
    <xf numFmtId="0" fontId="0" fillId="33" borderId="19" xfId="0" applyFill="1" applyBorder="1"/>
    <xf numFmtId="0" fontId="0" fillId="34" borderId="19" xfId="0" applyFill="1" applyBorder="1"/>
    <xf numFmtId="0" fontId="0" fillId="34" borderId="36" xfId="0" applyFill="1" applyBorder="1"/>
    <xf numFmtId="0" fontId="14" fillId="33" borderId="37" xfId="0" applyFont="1" applyFill="1" applyBorder="1"/>
    <xf numFmtId="3" fontId="0" fillId="34" borderId="13" xfId="0" applyNumberFormat="1" applyFill="1" applyBorder="1"/>
    <xf numFmtId="3" fontId="0" fillId="34" borderId="15" xfId="0" applyNumberFormat="1" applyFill="1" applyBorder="1"/>
    <xf numFmtId="1" fontId="0" fillId="0" borderId="0" xfId="2" applyNumberFormat="1" applyFont="1"/>
    <xf numFmtId="0" fontId="0" fillId="0" borderId="0" xfId="0" applyAlignment="1">
      <alignment wrapText="1"/>
    </xf>
    <xf numFmtId="0" fontId="0" fillId="0" borderId="31" xfId="0" applyBorder="1"/>
    <xf numFmtId="0" fontId="0" fillId="0" borderId="32" xfId="0" applyBorder="1"/>
    <xf numFmtId="0" fontId="0" fillId="0" borderId="33" xfId="0" applyBorder="1"/>
    <xf numFmtId="0" fontId="0" fillId="0" borderId="39" xfId="0" applyBorder="1"/>
    <xf numFmtId="0" fontId="0" fillId="0" borderId="40" xfId="0" applyBorder="1"/>
    <xf numFmtId="0" fontId="0" fillId="0" borderId="36" xfId="0" applyBorder="1"/>
    <xf numFmtId="0" fontId="0" fillId="0" borderId="30" xfId="0" applyBorder="1"/>
    <xf numFmtId="0" fontId="0" fillId="0" borderId="41" xfId="0" applyBorder="1"/>
    <xf numFmtId="0" fontId="0" fillId="0" borderId="34" xfId="0" applyBorder="1"/>
    <xf numFmtId="0" fontId="0" fillId="0" borderId="0" xfId="0" applyFill="1"/>
    <xf numFmtId="14" fontId="0" fillId="0" borderId="0" xfId="0" applyNumberFormat="1" applyFill="1"/>
    <xf numFmtId="167" fontId="17" fillId="0" borderId="12" xfId="1" applyNumberFormat="1" applyFont="1" applyFill="1" applyBorder="1" applyAlignment="1"/>
    <xf numFmtId="167" fontId="17" fillId="0" borderId="11" xfId="1" applyNumberFormat="1" applyFont="1" applyFill="1" applyBorder="1" applyAlignment="1"/>
    <xf numFmtId="167" fontId="17" fillId="0" borderId="0" xfId="1" applyNumberFormat="1" applyFont="1" applyFill="1" applyAlignment="1"/>
    <xf numFmtId="166" fontId="17" fillId="0" borderId="0" xfId="1" applyNumberFormat="1" applyFont="1" applyFill="1" applyAlignment="1"/>
    <xf numFmtId="0" fontId="0" fillId="0" borderId="15" xfId="0" applyFill="1" applyBorder="1"/>
    <xf numFmtId="0" fontId="0" fillId="0" borderId="14" xfId="0" applyFill="1" applyBorder="1"/>
    <xf numFmtId="3" fontId="0" fillId="0" borderId="14" xfId="0" applyNumberFormat="1" applyFill="1" applyBorder="1"/>
    <xf numFmtId="166" fontId="16" fillId="0" borderId="16" xfId="1" applyNumberFormat="1" applyFont="1" applyFill="1" applyBorder="1" applyAlignment="1"/>
    <xf numFmtId="0" fontId="0" fillId="0" borderId="18" xfId="0" applyFill="1" applyBorder="1"/>
    <xf numFmtId="0" fontId="0" fillId="0" borderId="17" xfId="0" applyFill="1" applyBorder="1"/>
    <xf numFmtId="0" fontId="0" fillId="0" borderId="19" xfId="0" applyFill="1" applyBorder="1"/>
    <xf numFmtId="166" fontId="0" fillId="0" borderId="13" xfId="1" applyNumberFormat="1" applyFont="1" applyFill="1" applyBorder="1"/>
    <xf numFmtId="166" fontId="0" fillId="0" borderId="22" xfId="1" applyNumberFormat="1" applyFont="1" applyFill="1" applyBorder="1"/>
    <xf numFmtId="166" fontId="0" fillId="0" borderId="0" xfId="1" applyNumberFormat="1" applyFont="1" applyFill="1" applyBorder="1"/>
    <xf numFmtId="166" fontId="0" fillId="0" borderId="0" xfId="1" applyNumberFormat="1" applyFont="1" applyFill="1"/>
    <xf numFmtId="3" fontId="0" fillId="0" borderId="0" xfId="0" applyNumberFormat="1" applyFill="1"/>
    <xf numFmtId="0" fontId="18" fillId="0" borderId="0" xfId="0" applyFont="1" applyFill="1"/>
    <xf numFmtId="169" fontId="0" fillId="0" borderId="22" xfId="1" applyNumberFormat="1" applyFont="1" applyFill="1" applyBorder="1"/>
    <xf numFmtId="168" fontId="0" fillId="0" borderId="22" xfId="3" applyNumberFormat="1" applyFont="1" applyFill="1" applyBorder="1"/>
    <xf numFmtId="166" fontId="0" fillId="0" borderId="0" xfId="0" applyNumberFormat="1" applyFill="1"/>
    <xf numFmtId="168" fontId="0" fillId="0" borderId="0" xfId="3" applyNumberFormat="1" applyFont="1" applyFill="1"/>
    <xf numFmtId="168" fontId="0" fillId="0" borderId="0" xfId="0" applyNumberFormat="1" applyFill="1"/>
    <xf numFmtId="0" fontId="0" fillId="0" borderId="15" xfId="0" applyFill="1" applyBorder="1" applyAlignment="1">
      <alignment wrapText="1"/>
    </xf>
    <xf numFmtId="0" fontId="14" fillId="33" borderId="31" xfId="0" applyFont="1" applyFill="1" applyBorder="1"/>
    <xf numFmtId="0" fontId="0" fillId="33" borderId="35" xfId="0" applyFill="1" applyBorder="1"/>
    <xf numFmtId="0" fontId="23" fillId="33" borderId="42" xfId="0" applyFont="1" applyFill="1" applyBorder="1"/>
    <xf numFmtId="1" fontId="0" fillId="0" borderId="0" xfId="0" applyNumberFormat="1"/>
    <xf numFmtId="167" fontId="0" fillId="0" borderId="0" xfId="0" applyNumberFormat="1"/>
    <xf numFmtId="9" fontId="0" fillId="0" borderId="32" xfId="3" applyFont="1" applyBorder="1"/>
    <xf numFmtId="9" fontId="0" fillId="0" borderId="33" xfId="3" applyFont="1" applyBorder="1"/>
    <xf numFmtId="9" fontId="0" fillId="0" borderId="40" xfId="3" applyFont="1" applyBorder="1"/>
    <xf numFmtId="9" fontId="0" fillId="0" borderId="19" xfId="3" applyFont="1" applyBorder="1"/>
    <xf numFmtId="9" fontId="0" fillId="0" borderId="36" xfId="3" applyFont="1" applyBorder="1"/>
    <xf numFmtId="9" fontId="0" fillId="0" borderId="31" xfId="3" applyFont="1" applyBorder="1"/>
    <xf numFmtId="9" fontId="0" fillId="0" borderId="39" xfId="3" applyFont="1" applyBorder="1"/>
    <xf numFmtId="9" fontId="0" fillId="0" borderId="35" xfId="3" applyFont="1" applyBorder="1"/>
    <xf numFmtId="0" fontId="14" fillId="0" borderId="0" xfId="0" applyFont="1" applyFill="1" applyBorder="1"/>
    <xf numFmtId="0" fontId="14" fillId="33" borderId="43" xfId="0" applyFont="1" applyFill="1" applyBorder="1"/>
    <xf numFmtId="0" fontId="0" fillId="34" borderId="10" xfId="0" applyFill="1" applyBorder="1"/>
    <xf numFmtId="3" fontId="0" fillId="34" borderId="11" xfId="0" applyNumberFormat="1" applyFill="1" applyBorder="1"/>
    <xf numFmtId="3" fontId="0" fillId="33" borderId="11" xfId="0" applyNumberFormat="1" applyFill="1" applyBorder="1"/>
    <xf numFmtId="3" fontId="0" fillId="34" borderId="12" xfId="0" applyNumberFormat="1" applyFill="1" applyBorder="1"/>
    <xf numFmtId="0" fontId="0" fillId="34" borderId="13" xfId="0" applyFill="1" applyBorder="1"/>
    <xf numFmtId="0" fontId="12" fillId="33" borderId="14" xfId="0" applyFont="1" applyFill="1" applyBorder="1"/>
    <xf numFmtId="0" fontId="12" fillId="34" borderId="14" xfId="0" applyFont="1" applyFill="1" applyBorder="1"/>
    <xf numFmtId="0" fontId="14" fillId="33" borderId="44" xfId="0" applyFont="1" applyFill="1" applyBorder="1"/>
    <xf numFmtId="0" fontId="0" fillId="34" borderId="23" xfId="0" applyFill="1" applyBorder="1"/>
    <xf numFmtId="0" fontId="0" fillId="33" borderId="24" xfId="0" applyFill="1" applyBorder="1"/>
    <xf numFmtId="0" fontId="0" fillId="34" borderId="24" xfId="0" applyFill="1" applyBorder="1"/>
    <xf numFmtId="0" fontId="0" fillId="34" borderId="25" xfId="0" applyFill="1" applyBorder="1"/>
    <xf numFmtId="0" fontId="14" fillId="33" borderId="38" xfId="0" applyFont="1" applyFill="1" applyBorder="1"/>
    <xf numFmtId="3" fontId="0" fillId="34" borderId="26" xfId="0" applyNumberFormat="1" applyFill="1" applyBorder="1"/>
    <xf numFmtId="3" fontId="0" fillId="33" borderId="27" xfId="0" applyNumberFormat="1" applyFill="1" applyBorder="1"/>
    <xf numFmtId="3" fontId="0" fillId="34" borderId="27" xfId="0" applyNumberFormat="1" applyFill="1" applyBorder="1"/>
    <xf numFmtId="3" fontId="0" fillId="34" borderId="28" xfId="0" applyNumberFormat="1" applyFill="1" applyBorder="1"/>
    <xf numFmtId="0" fontId="0" fillId="0" borderId="0" xfId="0" applyFill="1" applyBorder="1"/>
    <xf numFmtId="0" fontId="0" fillId="0" borderId="0" xfId="0" applyFont="1" applyFill="1" applyBorder="1"/>
    <xf numFmtId="0" fontId="14" fillId="0" borderId="31" xfId="0" applyFont="1" applyBorder="1"/>
    <xf numFmtId="0" fontId="14" fillId="0" borderId="39" xfId="0" applyFont="1" applyBorder="1"/>
    <xf numFmtId="0" fontId="0" fillId="0" borderId="39" xfId="0" applyBorder="1" applyAlignment="1"/>
    <xf numFmtId="3" fontId="0" fillId="0" borderId="0" xfId="0" applyNumberFormat="1" applyBorder="1"/>
    <xf numFmtId="3" fontId="0" fillId="0" borderId="40" xfId="0" applyNumberFormat="1" applyBorder="1"/>
    <xf numFmtId="0" fontId="14" fillId="0" borderId="39" xfId="0" applyFont="1" applyBorder="1" applyAlignment="1"/>
    <xf numFmtId="0" fontId="0" fillId="0" borderId="35" xfId="0" applyBorder="1" applyAlignment="1"/>
    <xf numFmtId="1" fontId="0" fillId="0" borderId="0" xfId="0" applyNumberFormat="1" applyBorder="1"/>
    <xf numFmtId="1" fontId="0" fillId="0" borderId="40" xfId="0" applyNumberFormat="1" applyBorder="1"/>
    <xf numFmtId="0" fontId="0" fillId="0" borderId="35" xfId="0" applyFill="1" applyBorder="1" applyAlignment="1"/>
    <xf numFmtId="1" fontId="0" fillId="0" borderId="19" xfId="0" applyNumberFormat="1" applyBorder="1"/>
    <xf numFmtId="1" fontId="0" fillId="0" borderId="36" xfId="0" applyNumberFormat="1" applyBorder="1"/>
    <xf numFmtId="0" fontId="0" fillId="0" borderId="0" xfId="0" applyNumberFormat="1" applyAlignment="1">
      <alignment vertical="center" wrapText="1"/>
    </xf>
    <xf numFmtId="0" fontId="0" fillId="0" borderId="0" xfId="0"/>
    <xf numFmtId="0" fontId="28" fillId="0" borderId="45" xfId="0" applyFont="1" applyBorder="1" applyAlignment="1">
      <alignment vertical="top" wrapText="1"/>
    </xf>
    <xf numFmtId="0" fontId="29" fillId="38" borderId="45" xfId="0" applyFont="1" applyFill="1" applyBorder="1" applyAlignment="1">
      <alignment horizontal="center" vertical="top" wrapText="1"/>
    </xf>
    <xf numFmtId="170" fontId="31" fillId="0" borderId="0" xfId="0" applyNumberFormat="1" applyFont="1" applyFill="1"/>
    <xf numFmtId="170" fontId="32" fillId="0" borderId="0" xfId="0" applyNumberFormat="1" applyFont="1" applyFill="1"/>
    <xf numFmtId="0" fontId="33" fillId="0" borderId="0" xfId="0" applyFont="1"/>
    <xf numFmtId="0" fontId="34" fillId="0" borderId="0" xfId="0" applyFont="1"/>
    <xf numFmtId="43" fontId="0" fillId="0" borderId="0" xfId="1" applyNumberFormat="1" applyFont="1"/>
    <xf numFmtId="0" fontId="17" fillId="0" borderId="0" xfId="1" applyNumberFormat="1" applyFont="1" applyAlignment="1"/>
    <xf numFmtId="167" fontId="0" fillId="0" borderId="0" xfId="0" applyNumberFormat="1" applyFill="1"/>
    <xf numFmtId="168" fontId="0" fillId="0" borderId="0" xfId="0" applyNumberFormat="1"/>
    <xf numFmtId="168" fontId="0" fillId="0" borderId="0" xfId="3" applyNumberFormat="1" applyFont="1" applyBorder="1"/>
    <xf numFmtId="171" fontId="0" fillId="0" borderId="0" xfId="0" applyNumberFormat="1"/>
    <xf numFmtId="0" fontId="33" fillId="0" borderId="0" xfId="0" applyFont="1" applyAlignment="1">
      <alignment horizontal="center"/>
    </xf>
    <xf numFmtId="0" fontId="34" fillId="0" borderId="0" xfId="0" applyFont="1" applyAlignment="1">
      <alignment horizontal="center"/>
    </xf>
    <xf numFmtId="3" fontId="31" fillId="0" borderId="0" xfId="0" applyNumberFormat="1" applyFont="1"/>
    <xf numFmtId="3" fontId="32" fillId="0" borderId="0" xfId="0" applyNumberFormat="1" applyFont="1"/>
    <xf numFmtId="172" fontId="0" fillId="0" borderId="0" xfId="2" applyNumberFormat="1" applyFont="1"/>
    <xf numFmtId="0" fontId="33" fillId="0" borderId="0" xfId="0" applyFont="1" applyAlignment="1">
      <alignment horizontal="right"/>
    </xf>
    <xf numFmtId="0" fontId="31" fillId="0" borderId="0" xfId="0" applyFont="1"/>
    <xf numFmtId="170" fontId="33" fillId="0" borderId="0" xfId="0" applyNumberFormat="1" applyFont="1"/>
    <xf numFmtId="170" fontId="33" fillId="0" borderId="48" xfId="0" applyNumberFormat="1" applyFont="1" applyBorder="1"/>
    <xf numFmtId="10" fontId="35" fillId="0" borderId="0" xfId="0" applyNumberFormat="1" applyFont="1"/>
    <xf numFmtId="0" fontId="36" fillId="0" borderId="0" xfId="0" applyFont="1"/>
    <xf numFmtId="168" fontId="33" fillId="0" borderId="0" xfId="0" applyNumberFormat="1" applyFont="1"/>
    <xf numFmtId="170" fontId="31" fillId="0" borderId="0" xfId="0" applyNumberFormat="1" applyFont="1"/>
    <xf numFmtId="165" fontId="0" fillId="0" borderId="0" xfId="0" applyNumberFormat="1"/>
    <xf numFmtId="0" fontId="0" fillId="0" borderId="0" xfId="0" applyAlignment="1">
      <alignment vertical="top" wrapText="1"/>
    </xf>
    <xf numFmtId="14" fontId="0" fillId="0" borderId="0" xfId="0" applyNumberFormat="1"/>
    <xf numFmtId="166" fontId="16" fillId="33" borderId="10" xfId="1" applyNumberFormat="1" applyFont="1" applyFill="1" applyBorder="1" applyAlignment="1"/>
    <xf numFmtId="166" fontId="16" fillId="33" borderId="13" xfId="1" applyNumberFormat="1" applyFont="1" applyFill="1" applyBorder="1" applyAlignment="1"/>
    <xf numFmtId="166" fontId="16" fillId="0" borderId="10" xfId="1" applyNumberFormat="1" applyFont="1" applyFill="1" applyBorder="1" applyAlignment="1"/>
    <xf numFmtId="166" fontId="16" fillId="0" borderId="13" xfId="1" applyNumberFormat="1" applyFont="1" applyFill="1" applyBorder="1" applyAlignment="1"/>
    <xf numFmtId="0" fontId="0" fillId="0" borderId="0" xfId="0" applyFill="1" applyAlignment="1">
      <alignment horizontal="center" wrapText="1"/>
    </xf>
    <xf numFmtId="0" fontId="0" fillId="0" borderId="19" xfId="0" applyBorder="1" applyAlignment="1">
      <alignment horizontal="center"/>
    </xf>
    <xf numFmtId="0" fontId="0" fillId="0" borderId="31" xfId="0" applyBorder="1" applyAlignment="1">
      <alignment horizontal="center" wrapText="1"/>
    </xf>
    <xf numFmtId="0" fontId="0" fillId="0" borderId="35" xfId="0" applyBorder="1" applyAlignment="1">
      <alignment horizontal="center" wrapText="1"/>
    </xf>
    <xf numFmtId="0" fontId="0" fillId="0" borderId="33" xfId="0" applyBorder="1" applyAlignment="1">
      <alignment horizontal="center" wrapText="1"/>
    </xf>
    <xf numFmtId="0" fontId="0" fillId="0" borderId="36" xfId="0" applyBorder="1" applyAlignment="1">
      <alignment horizontal="center" wrapText="1"/>
    </xf>
    <xf numFmtId="0" fontId="0" fillId="0" borderId="32" xfId="0" applyBorder="1" applyAlignment="1">
      <alignment horizontal="center" wrapText="1"/>
    </xf>
    <xf numFmtId="0" fontId="0" fillId="0" borderId="19" xfId="0" applyBorder="1" applyAlignment="1">
      <alignment horizontal="center" wrapText="1"/>
    </xf>
    <xf numFmtId="166" fontId="16" fillId="0" borderId="46" xfId="1" applyNumberFormat="1" applyFont="1" applyFill="1" applyBorder="1" applyAlignment="1"/>
    <xf numFmtId="166" fontId="16" fillId="0" borderId="47" xfId="1" applyNumberFormat="1" applyFont="1" applyFill="1" applyBorder="1" applyAlignment="1"/>
    <xf numFmtId="166" fontId="16" fillId="0" borderId="20" xfId="1" applyNumberFormat="1" applyFont="1" applyFill="1" applyBorder="1" applyAlignment="1"/>
    <xf numFmtId="0" fontId="30" fillId="37" borderId="0" xfId="0" applyFont="1" applyFill="1" applyAlignment="1">
      <alignment horizontal="left" vertical="center"/>
    </xf>
  </cellXfs>
  <cellStyles count="48">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40"/>
    <cellStyle name="60% - Accent2 2" xfId="41"/>
    <cellStyle name="60% - Accent3 2" xfId="42"/>
    <cellStyle name="60% - Accent4 2" xfId="43"/>
    <cellStyle name="60% - Accent5 2" xfId="44"/>
    <cellStyle name="60% - Accent6 2" xfId="45"/>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1" builtinId="3"/>
    <cellStyle name="Currency" xfId="2" builtinId="4"/>
    <cellStyle name="Explanatory Text" xfId="17" builtinId="53" customBuiltin="1"/>
    <cellStyle name="Followed Hyperlink 2" xfId="47"/>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2" xfId="46"/>
    <cellStyle name="Input" xfId="10" builtinId="20" customBuiltin="1"/>
    <cellStyle name="Linked Cell" xfId="13" builtinId="24" customBuiltin="1"/>
    <cellStyle name="Neutral 2" xfId="39"/>
    <cellStyle name="Normal" xfId="0" builtinId="0"/>
    <cellStyle name="Normal 2" xfId="37"/>
    <cellStyle name="Note" xfId="16" builtinId="10" customBuiltin="1"/>
    <cellStyle name="Output" xfId="11" builtinId="21" customBuiltin="1"/>
    <cellStyle name="Percent" xfId="3" builtinId="5"/>
    <cellStyle name="Title 2" xfId="38"/>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Annual per capita spending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94028871391076"/>
          <c:y val="0.25879666083406239"/>
          <c:w val="0.82186395450568683"/>
          <c:h val="0.57142242636337137"/>
        </c:manualLayout>
      </c:layout>
      <c:lineChart>
        <c:grouping val="standard"/>
        <c:varyColors val="0"/>
        <c:ser>
          <c:idx val="0"/>
          <c:order val="0"/>
          <c:tx>
            <c:strRef>
              <c:f>'Nominal per person (Core)'!$A$6</c:f>
              <c:strCache>
                <c:ptCount val="1"/>
                <c:pt idx="0">
                  <c:v> Core govt services </c:v>
                </c:pt>
              </c:strCache>
            </c:strRef>
          </c:tx>
          <c:spPr>
            <a:ln w="28575" cap="rnd">
              <a:solidFill>
                <a:schemeClr val="accent1"/>
              </a:solidFill>
              <a:prstDash val="sysDash"/>
              <a:round/>
            </a:ln>
            <a:effectLst/>
          </c:spPr>
          <c:marker>
            <c:symbol val="none"/>
          </c:marker>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(Core)'!$B$6:$Y$6</c:f>
              <c:numCache>
                <c:formatCode>_-* #,##0_-;\-* #,##0_-;_-* "-"??_-;_-@_-</c:formatCode>
                <c:ptCount val="24"/>
                <c:pt idx="0">
                  <c:v>409.83147640109735</c:v>
                </c:pt>
                <c:pt idx="1">
                  <c:v>475.96685082872926</c:v>
                </c:pt>
                <c:pt idx="2">
                  <c:v>364.7846681548429</c:v>
                </c:pt>
                <c:pt idx="3">
                  <c:v>419.34619506966771</c:v>
                </c:pt>
                <c:pt idx="4">
                  <c:v>440.85367466215325</c:v>
                </c:pt>
                <c:pt idx="5">
                  <c:v>409.43643512450853</c:v>
                </c:pt>
                <c:pt idx="6">
                  <c:v>444.57771635680945</c:v>
                </c:pt>
                <c:pt idx="7">
                  <c:v>443.26930554475467</c:v>
                </c:pt>
                <c:pt idx="8">
                  <c:v>463.34235278958897</c:v>
                </c:pt>
                <c:pt idx="9">
                  <c:v>390.02152716221349</c:v>
                </c:pt>
                <c:pt idx="10">
                  <c:v>528.90345649582832</c:v>
                </c:pt>
                <c:pt idx="11">
                  <c:v>511.55963302752292</c:v>
                </c:pt>
                <c:pt idx="12">
                  <c:v>620.9632550376158</c:v>
                </c:pt>
                <c:pt idx="13">
                  <c:v>599.09717227090562</c:v>
                </c:pt>
                <c:pt idx="14">
                  <c:v>1140.1893055167548</c:v>
                </c:pt>
                <c:pt idx="15">
                  <c:v>791.36099536357767</c:v>
                </c:pt>
                <c:pt idx="16">
                  <c:v>1230.1892580980293</c:v>
                </c:pt>
                <c:pt idx="17">
                  <c:v>683.57287498247399</c:v>
                </c:pt>
                <c:pt idx="18">
                  <c:v>1268.9411651995795</c:v>
                </c:pt>
                <c:pt idx="19">
                  <c:v>1231.4030462933135</c:v>
                </c:pt>
                <c:pt idx="20">
                  <c:v>966.65991310416246</c:v>
                </c:pt>
                <c:pt idx="21">
                  <c:v>998.29478301169263</c:v>
                </c:pt>
                <c:pt idx="22">
                  <c:v>899.52673665886959</c:v>
                </c:pt>
                <c:pt idx="23">
                  <c:v>874.06776049435325</c:v>
                </c:pt>
              </c:numCache>
            </c:numRef>
          </c:val>
          <c:smooth val="0"/>
          <c:extLst xmlns:c16r2="http://schemas.microsoft.com/office/drawing/2015/06/chart">
            <c:ext xmlns:c16="http://schemas.microsoft.com/office/drawing/2014/chart" uri="{C3380CC4-5D6E-409C-BE32-E72D297353CC}">
              <c16:uniqueId val="{00000000-E923-4BAD-BC85-E393B477E8C7}"/>
            </c:ext>
          </c:extLst>
        </c:ser>
        <c:ser>
          <c:idx val="1"/>
          <c:order val="1"/>
          <c:tx>
            <c:strRef>
              <c:f>'Nominal per person (Core)'!$A$7</c:f>
              <c:strCache>
                <c:ptCount val="1"/>
                <c:pt idx="0">
                  <c:v> Defence </c:v>
                </c:pt>
              </c:strCache>
            </c:strRef>
          </c:tx>
          <c:spPr>
            <a:ln w="28575" cap="rnd">
              <a:solidFill>
                <a:schemeClr val="accent2"/>
              </a:solidFill>
              <a:round/>
            </a:ln>
            <a:effectLst/>
          </c:spPr>
          <c:marker>
            <c:symbol val="none"/>
          </c:marker>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(Core)'!$B$7:$Y$7</c:f>
              <c:numCache>
                <c:formatCode>_-* #,##0_-;\-* #,##0_-;_-* "-"??_-;_-@_-</c:formatCode>
                <c:ptCount val="24"/>
                <c:pt idx="0">
                  <c:v>328.36907228038746</c:v>
                </c:pt>
                <c:pt idx="1">
                  <c:v>289.77900552486187</c:v>
                </c:pt>
                <c:pt idx="2">
                  <c:v>275.76632003048945</c:v>
                </c:pt>
                <c:pt idx="3">
                  <c:v>259.91425509110394</c:v>
                </c:pt>
                <c:pt idx="4">
                  <c:v>250.17851003623093</c:v>
                </c:pt>
                <c:pt idx="5">
                  <c:v>279.16120576671034</c:v>
                </c:pt>
                <c:pt idx="6">
                  <c:v>268.5718755703893</c:v>
                </c:pt>
                <c:pt idx="7">
                  <c:v>323.24960468673044</c:v>
                </c:pt>
                <c:pt idx="8">
                  <c:v>320.06184770003864</c:v>
                </c:pt>
                <c:pt idx="9">
                  <c:v>294.28897049512472</c:v>
                </c:pt>
                <c:pt idx="10">
                  <c:v>297.72546682558601</c:v>
                </c:pt>
                <c:pt idx="11">
                  <c:v>320.73394495412845</c:v>
                </c:pt>
                <c:pt idx="12">
                  <c:v>308.42545780014029</c:v>
                </c:pt>
                <c:pt idx="13">
                  <c:v>330.49516922643102</c:v>
                </c:pt>
                <c:pt idx="14">
                  <c:v>359.15016122693459</c:v>
                </c:pt>
                <c:pt idx="15">
                  <c:v>366.68818592640412</c:v>
                </c:pt>
                <c:pt idx="16">
                  <c:v>408.35868627965948</c:v>
                </c:pt>
                <c:pt idx="17">
                  <c:v>416.94727478756147</c:v>
                </c:pt>
                <c:pt idx="18">
                  <c:v>412.63968503434103</c:v>
                </c:pt>
                <c:pt idx="19">
                  <c:v>393.83118798179663</c:v>
                </c:pt>
                <c:pt idx="20">
                  <c:v>406.11422525382142</c:v>
                </c:pt>
                <c:pt idx="21">
                  <c:v>401.57970947005225</c:v>
                </c:pt>
                <c:pt idx="22">
                  <c:v>426.69858020997663</c:v>
                </c:pt>
                <c:pt idx="23">
                  <c:v>431.7067973577669</c:v>
                </c:pt>
              </c:numCache>
            </c:numRef>
          </c:val>
          <c:smooth val="0"/>
          <c:extLst xmlns:c16r2="http://schemas.microsoft.com/office/drawing/2015/06/chart">
            <c:ext xmlns:c16="http://schemas.microsoft.com/office/drawing/2014/chart" uri="{C3380CC4-5D6E-409C-BE32-E72D297353CC}">
              <c16:uniqueId val="{00000001-E923-4BAD-BC85-E393B477E8C7}"/>
            </c:ext>
          </c:extLst>
        </c:ser>
        <c:ser>
          <c:idx val="2"/>
          <c:order val="2"/>
          <c:tx>
            <c:strRef>
              <c:f>'Nominal per person (Core)'!$A$8</c:f>
              <c:strCache>
                <c:ptCount val="1"/>
                <c:pt idx="0">
                  <c:v> Education </c:v>
                </c:pt>
              </c:strCache>
            </c:strRef>
          </c:tx>
          <c:spPr>
            <a:ln w="28575" cap="rnd">
              <a:solidFill>
                <a:srgbClr val="FF0000"/>
              </a:solidFill>
              <a:round/>
            </a:ln>
            <a:effectLst/>
          </c:spPr>
          <c:marker>
            <c:symbol val="none"/>
          </c:marker>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(Core)'!$B$8:$Y$8</c:f>
              <c:numCache>
                <c:formatCode>_-* #,##0_-;\-* #,##0_-;_-* "-"??_-;_-@_-</c:formatCode>
                <c:ptCount val="24"/>
                <c:pt idx="0">
                  <c:v>1270.6455405632382</c:v>
                </c:pt>
                <c:pt idx="1">
                  <c:v>1278.1767955801106</c:v>
                </c:pt>
                <c:pt idx="2">
                  <c:v>1307.5080307072467</c:v>
                </c:pt>
                <c:pt idx="3">
                  <c:v>1326.0986066452303</c:v>
                </c:pt>
                <c:pt idx="4">
                  <c:v>1410.8904345066512</c:v>
                </c:pt>
                <c:pt idx="5">
                  <c:v>1497.7719528178243</c:v>
                </c:pt>
                <c:pt idx="6">
                  <c:v>1538.1606737764334</c:v>
                </c:pt>
                <c:pt idx="7">
                  <c:v>1635.6896596417555</c:v>
                </c:pt>
                <c:pt idx="8">
                  <c:v>1581.2395309882747</c:v>
                </c:pt>
                <c:pt idx="9">
                  <c:v>1639.3567177409143</c:v>
                </c:pt>
                <c:pt idx="10">
                  <c:v>1742.1533571712357</c:v>
                </c:pt>
                <c:pt idx="11">
                  <c:v>1855.65749235474</c:v>
                </c:pt>
                <c:pt idx="12">
                  <c:v>1918.285396356951</c:v>
                </c:pt>
                <c:pt idx="13">
                  <c:v>2369.1461371734181</c:v>
                </c:pt>
                <c:pt idx="14">
                  <c:v>2194.4382626318106</c:v>
                </c:pt>
                <c:pt idx="15">
                  <c:v>2242.1503609366746</c:v>
                </c:pt>
                <c:pt idx="16">
                  <c:v>2662.3498869285709</c:v>
                </c:pt>
                <c:pt idx="17">
                  <c:v>2694.7573592113399</c:v>
                </c:pt>
                <c:pt idx="18">
                  <c:v>2657.4086957711847</c:v>
                </c:pt>
                <c:pt idx="19">
                  <c:v>2643.8413967395495</c:v>
                </c:pt>
                <c:pt idx="20">
                  <c:v>2814.8848517593028</c:v>
                </c:pt>
                <c:pt idx="21">
                  <c:v>2727.4602023642424</c:v>
                </c:pt>
                <c:pt idx="22">
                  <c:v>2802.3717565141706</c:v>
                </c:pt>
                <c:pt idx="23">
                  <c:v>2803.7502663541445</c:v>
                </c:pt>
              </c:numCache>
            </c:numRef>
          </c:val>
          <c:smooth val="0"/>
          <c:extLst xmlns:c16r2="http://schemas.microsoft.com/office/drawing/2015/06/chart">
            <c:ext xmlns:c16="http://schemas.microsoft.com/office/drawing/2014/chart" uri="{C3380CC4-5D6E-409C-BE32-E72D297353CC}">
              <c16:uniqueId val="{00000002-E923-4BAD-BC85-E393B477E8C7}"/>
            </c:ext>
          </c:extLst>
        </c:ser>
        <c:ser>
          <c:idx val="3"/>
          <c:order val="3"/>
          <c:tx>
            <c:strRef>
              <c:f>'Nominal per person (Core)'!$A$9</c:f>
              <c:strCache>
                <c:ptCount val="1"/>
                <c:pt idx="0">
                  <c:v> Finance costs </c:v>
                </c:pt>
              </c:strCache>
            </c:strRef>
          </c:tx>
          <c:spPr>
            <a:ln w="28575" cap="rnd">
              <a:solidFill>
                <a:srgbClr val="FF0000"/>
              </a:solidFill>
              <a:prstDash val="sysDash"/>
              <a:round/>
            </a:ln>
            <a:effectLst/>
          </c:spPr>
          <c:marker>
            <c:symbol val="none"/>
          </c:marker>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(Core)'!$B$9:$Y$9</c:f>
              <c:numCache>
                <c:formatCode>_-* #,##0_-;\-* #,##0_-;_-* "-"??_-;_-@_-</c:formatCode>
                <c:ptCount val="24"/>
                <c:pt idx="0">
                  <c:v>1108.8404904540619</c:v>
                </c:pt>
                <c:pt idx="1">
                  <c:v>1046.4088397790056</c:v>
                </c:pt>
                <c:pt idx="2">
                  <c:v>1022.7582076550335</c:v>
                </c:pt>
                <c:pt idx="3">
                  <c:v>992.2293676312969</c:v>
                </c:pt>
                <c:pt idx="4">
                  <c:v>812.41900933541376</c:v>
                </c:pt>
                <c:pt idx="5">
                  <c:v>734.99344692005241</c:v>
                </c:pt>
                <c:pt idx="6">
                  <c:v>656.04547469427132</c:v>
                </c:pt>
                <c:pt idx="7">
                  <c:v>615.13336962438757</c:v>
                </c:pt>
                <c:pt idx="8">
                  <c:v>593.73792037108615</c:v>
                </c:pt>
                <c:pt idx="9">
                  <c:v>536.40623021400529</c:v>
                </c:pt>
                <c:pt idx="10">
                  <c:v>586.01509733810087</c:v>
                </c:pt>
                <c:pt idx="11">
                  <c:v>550.94801223241586</c:v>
                </c:pt>
                <c:pt idx="12">
                  <c:v>550.08587532354431</c:v>
                </c:pt>
                <c:pt idx="13">
                  <c:v>563.01273947756431</c:v>
                </c:pt>
                <c:pt idx="14">
                  <c:v>551.39138134313168</c:v>
                </c:pt>
                <c:pt idx="15">
                  <c:v>577.49867949997065</c:v>
                </c:pt>
                <c:pt idx="16">
                  <c:v>564.54368182885196</c:v>
                </c:pt>
                <c:pt idx="17">
                  <c:v>531.18255349176104</c:v>
                </c:pt>
                <c:pt idx="18">
                  <c:v>699.36609967677703</c:v>
                </c:pt>
                <c:pt idx="19">
                  <c:v>796.50996601617976</c:v>
                </c:pt>
                <c:pt idx="20">
                  <c:v>814.70475675919045</c:v>
                </c:pt>
                <c:pt idx="21">
                  <c:v>802.71592947630552</c:v>
                </c:pt>
                <c:pt idx="22">
                  <c:v>823.15182505575808</c:v>
                </c:pt>
                <c:pt idx="23">
                  <c:v>764.96910291924144</c:v>
                </c:pt>
              </c:numCache>
            </c:numRef>
          </c:val>
          <c:smooth val="0"/>
          <c:extLst xmlns:c16r2="http://schemas.microsoft.com/office/drawing/2015/06/chart">
            <c:ext xmlns:c16="http://schemas.microsoft.com/office/drawing/2014/chart" uri="{C3380CC4-5D6E-409C-BE32-E72D297353CC}">
              <c16:uniqueId val="{00000003-E923-4BAD-BC85-E393B477E8C7}"/>
            </c:ext>
          </c:extLst>
        </c:ser>
        <c:ser>
          <c:idx val="4"/>
          <c:order val="4"/>
          <c:tx>
            <c:strRef>
              <c:f>'Nominal per person (Core)'!$A$10</c:f>
              <c:strCache>
                <c:ptCount val="1"/>
                <c:pt idx="0">
                  <c:v> Health </c:v>
                </c:pt>
              </c:strCache>
            </c:strRef>
          </c:tx>
          <c:spPr>
            <a:ln w="28575" cap="rnd">
              <a:solidFill>
                <a:schemeClr val="accent5"/>
              </a:solidFill>
              <a:round/>
            </a:ln>
            <a:effectLst/>
          </c:spPr>
          <c:marker>
            <c:symbol val="none"/>
          </c:marker>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(Core)'!$B$10:$Y$10</c:f>
              <c:numCache>
                <c:formatCode>_-* #,##0_-;\-* #,##0_-;_-* "-"??_-;_-@_-</c:formatCode>
                <c:ptCount val="24"/>
                <c:pt idx="0">
                  <c:v>1166.7879737976598</c:v>
                </c:pt>
                <c:pt idx="1">
                  <c:v>1271.2707182320441</c:v>
                </c:pt>
                <c:pt idx="2">
                  <c:v>1330.1029019437033</c:v>
                </c:pt>
                <c:pt idx="3">
                  <c:v>1400.8574490889603</c:v>
                </c:pt>
                <c:pt idx="4">
                  <c:v>1487.8480945706503</c:v>
                </c:pt>
                <c:pt idx="5">
                  <c:v>1573.0013106159895</c:v>
                </c:pt>
                <c:pt idx="6">
                  <c:v>1713.905765169096</c:v>
                </c:pt>
                <c:pt idx="7">
                  <c:v>1781.890763926692</c:v>
                </c:pt>
                <c:pt idx="8">
                  <c:v>1716.2736760726712</c:v>
                </c:pt>
                <c:pt idx="9">
                  <c:v>1780.9294668861594</c:v>
                </c:pt>
                <c:pt idx="10">
                  <c:v>1862.5844259038538</c:v>
                </c:pt>
                <c:pt idx="11">
                  <c:v>1984.34250764526</c:v>
                </c:pt>
                <c:pt idx="12">
                  <c:v>2131.8851447785382</c:v>
                </c:pt>
                <c:pt idx="13">
                  <c:v>2281.4442376028464</c:v>
                </c:pt>
                <c:pt idx="14">
                  <c:v>2451.5490570236702</c:v>
                </c:pt>
                <c:pt idx="15">
                  <c:v>2652.0335700451906</c:v>
                </c:pt>
                <c:pt idx="16">
                  <c:v>2874.5476561791852</c:v>
                </c:pt>
                <c:pt idx="17">
                  <c:v>3017.4662753093203</c:v>
                </c:pt>
                <c:pt idx="18">
                  <c:v>3137.1108835142577</c:v>
                </c:pt>
                <c:pt idx="19">
                  <c:v>3212.3557729390786</c:v>
                </c:pt>
                <c:pt idx="20">
                  <c:v>3263.7716395398575</c:v>
                </c:pt>
                <c:pt idx="21">
                  <c:v>3303.5530158392262</c:v>
                </c:pt>
                <c:pt idx="22">
                  <c:v>3276.5054670075615</c:v>
                </c:pt>
                <c:pt idx="23">
                  <c:v>3329.639889196676</c:v>
                </c:pt>
              </c:numCache>
            </c:numRef>
          </c:val>
          <c:smooth val="0"/>
          <c:extLst xmlns:c16r2="http://schemas.microsoft.com/office/drawing/2015/06/chart">
            <c:ext xmlns:c16="http://schemas.microsoft.com/office/drawing/2014/chart" uri="{C3380CC4-5D6E-409C-BE32-E72D297353CC}">
              <c16:uniqueId val="{00000004-E923-4BAD-BC85-E393B477E8C7}"/>
            </c:ext>
          </c:extLst>
        </c:ser>
        <c:ser>
          <c:idx val="5"/>
          <c:order val="5"/>
          <c:tx>
            <c:strRef>
              <c:f>'Nominal per person (Core)'!$A$11</c:f>
              <c:strCache>
                <c:ptCount val="1"/>
                <c:pt idx="0">
                  <c:v> Law and order </c:v>
                </c:pt>
              </c:strCache>
            </c:strRef>
          </c:tx>
          <c:spPr>
            <a:ln w="28575" cap="rnd">
              <a:solidFill>
                <a:schemeClr val="accent6"/>
              </a:solidFill>
              <a:round/>
            </a:ln>
            <a:effectLst/>
          </c:spPr>
          <c:marker>
            <c:symbol val="none"/>
          </c:marker>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(Core)'!$B$11:$Y$11</c:f>
              <c:numCache>
                <c:formatCode>_-* #,##0_-;\-* #,##0_-;_-* "-"??_-;_-@_-</c:formatCode>
                <c:ptCount val="24"/>
                <c:pt idx="0">
                  <c:v>295.05626784614526</c:v>
                </c:pt>
                <c:pt idx="1">
                  <c:v>317.67955801104972</c:v>
                </c:pt>
                <c:pt idx="2">
                  <c:v>323.95056351064409</c:v>
                </c:pt>
                <c:pt idx="3">
                  <c:v>330.65380493033229</c:v>
                </c:pt>
                <c:pt idx="4">
                  <c:v>338.77237986935711</c:v>
                </c:pt>
                <c:pt idx="5">
                  <c:v>352.55570117955438</c:v>
                </c:pt>
                <c:pt idx="6">
                  <c:v>390.86334124273162</c:v>
                </c:pt>
                <c:pt idx="7">
                  <c:v>396.86860046141481</c:v>
                </c:pt>
                <c:pt idx="8">
                  <c:v>397.11377399819611</c:v>
                </c:pt>
                <c:pt idx="9">
                  <c:v>438.90084842345192</c:v>
                </c:pt>
                <c:pt idx="10">
                  <c:v>430.57210965435041</c:v>
                </c:pt>
                <c:pt idx="11">
                  <c:v>450.8868501529052</c:v>
                </c:pt>
                <c:pt idx="12">
                  <c:v>478.2408863300999</c:v>
                </c:pt>
                <c:pt idx="13">
                  <c:v>534.09739929217164</c:v>
                </c:pt>
                <c:pt idx="14">
                  <c:v>638.98898164238403</c:v>
                </c:pt>
                <c:pt idx="15">
                  <c:v>679.38259287516871</c:v>
                </c:pt>
                <c:pt idx="16">
                  <c:v>717.9396596003802</c:v>
                </c:pt>
                <c:pt idx="17">
                  <c:v>733.45025019134982</c:v>
                </c:pt>
                <c:pt idx="18">
                  <c:v>771.44688490112844</c:v>
                </c:pt>
                <c:pt idx="19">
                  <c:v>772.00894740901731</c:v>
                </c:pt>
                <c:pt idx="20">
                  <c:v>778.01040048625646</c:v>
                </c:pt>
                <c:pt idx="21">
                  <c:v>776.32830638026121</c:v>
                </c:pt>
                <c:pt idx="22">
                  <c:v>764.83707773486378</c:v>
                </c:pt>
                <c:pt idx="23">
                  <c:v>777.32793522267207</c:v>
                </c:pt>
              </c:numCache>
            </c:numRef>
          </c:val>
          <c:smooth val="0"/>
          <c:extLst xmlns:c16r2="http://schemas.microsoft.com/office/drawing/2015/06/chart">
            <c:ext xmlns:c16="http://schemas.microsoft.com/office/drawing/2014/chart" uri="{C3380CC4-5D6E-409C-BE32-E72D297353CC}">
              <c16:uniqueId val="{00000005-E923-4BAD-BC85-E393B477E8C7}"/>
            </c:ext>
          </c:extLst>
        </c:ser>
        <c:ser>
          <c:idx val="6"/>
          <c:order val="6"/>
          <c:tx>
            <c:strRef>
              <c:f>'Nominal per person (Core)'!$A$12</c:f>
              <c:strCache>
                <c:ptCount val="1"/>
                <c:pt idx="0">
                  <c:v> Welfare </c:v>
                </c:pt>
              </c:strCache>
            </c:strRef>
          </c:tx>
          <c:spPr>
            <a:ln w="28575" cap="rnd">
              <a:solidFill>
                <a:srgbClr val="00B0F0"/>
              </a:solidFill>
              <a:round/>
            </a:ln>
            <a:effectLst/>
          </c:spPr>
          <c:marker>
            <c:symbol val="none"/>
          </c:marker>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(Core)'!$B$12:$Y$12</c:f>
              <c:numCache>
                <c:formatCode>_-* #,##0_-;\-* #,##0_-;_-* "-"??_-;_-@_-</c:formatCode>
                <c:ptCount val="24"/>
                <c:pt idx="0">
                  <c:v>1934.368365110573</c:v>
                </c:pt>
                <c:pt idx="1">
                  <c:v>1802.509377209645</c:v>
                </c:pt>
                <c:pt idx="2">
                  <c:v>1848.1379376996849</c:v>
                </c:pt>
                <c:pt idx="3">
                  <c:v>1934.6485646169499</c:v>
                </c:pt>
                <c:pt idx="4">
                  <c:v>1992.3001082517574</c:v>
                </c:pt>
                <c:pt idx="5">
                  <c:v>1940.4980340760158</c:v>
                </c:pt>
                <c:pt idx="6">
                  <c:v>2042.9715000912622</c:v>
                </c:pt>
                <c:pt idx="7">
                  <c:v>2029.1883764937656</c:v>
                </c:pt>
                <c:pt idx="8">
                  <c:v>2044.5818837778636</c:v>
                </c:pt>
                <c:pt idx="9">
                  <c:v>2034.9499810054451</c:v>
                </c:pt>
                <c:pt idx="10">
                  <c:v>2052.2943980929676</c:v>
                </c:pt>
                <c:pt idx="11">
                  <c:v>2045.993883792049</c:v>
                </c:pt>
                <c:pt idx="12">
                  <c:v>2080.1180483320836</c:v>
                </c:pt>
                <c:pt idx="13">
                  <c:v>2194.6982170466686</c:v>
                </c:pt>
                <c:pt idx="14">
                  <c:v>2357.5591994052834</c:v>
                </c:pt>
                <c:pt idx="15">
                  <c:v>2471.7412993720291</c:v>
                </c:pt>
                <c:pt idx="16">
                  <c:v>2704.8824080379491</c:v>
                </c:pt>
                <c:pt idx="17">
                  <c:v>2963.9113056149972</c:v>
                </c:pt>
                <c:pt idx="18">
                  <c:v>3005.2669156038933</c:v>
                </c:pt>
                <c:pt idx="19">
                  <c:v>2823.061810625275</c:v>
                </c:pt>
                <c:pt idx="20">
                  <c:v>2815.3350892595845</c:v>
                </c:pt>
                <c:pt idx="21">
                  <c:v>2742.5388441334103</c:v>
                </c:pt>
                <c:pt idx="22">
                  <c:v>2596.311809824294</c:v>
                </c:pt>
                <c:pt idx="23">
                  <c:v>2517.366290219476</c:v>
                </c:pt>
              </c:numCache>
            </c:numRef>
          </c:val>
          <c:smooth val="0"/>
          <c:extLst xmlns:c16r2="http://schemas.microsoft.com/office/drawing/2015/06/chart">
            <c:ext xmlns:c16="http://schemas.microsoft.com/office/drawing/2014/chart" uri="{C3380CC4-5D6E-409C-BE32-E72D297353CC}">
              <c16:uniqueId val="{00000006-E923-4BAD-BC85-E393B477E8C7}"/>
            </c:ext>
          </c:extLst>
        </c:ser>
        <c:ser>
          <c:idx val="7"/>
          <c:order val="7"/>
          <c:tx>
            <c:strRef>
              <c:f>'Nominal per person (Core)'!$A$13</c:f>
              <c:strCache>
                <c:ptCount val="1"/>
                <c:pt idx="0">
                  <c:v> NZ super </c:v>
                </c:pt>
              </c:strCache>
            </c:strRef>
          </c:tx>
          <c:spPr>
            <a:ln w="28575" cap="rnd">
              <a:solidFill>
                <a:schemeClr val="bg1">
                  <a:lumMod val="75000"/>
                </a:schemeClr>
              </a:solidFill>
              <a:round/>
            </a:ln>
            <a:effectLst/>
          </c:spPr>
          <c:marker>
            <c:symbol val="none"/>
          </c:marker>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(Core)'!$B$13:$Y$13</c:f>
              <c:numCache>
                <c:formatCode>_-* #,##0_-;\-* #,##0_-;_-* "-"??_-;_-@_-</c:formatCode>
                <c:ptCount val="24"/>
                <c:pt idx="0">
                  <c:v>1444.7817384670541</c:v>
                </c:pt>
                <c:pt idx="1">
                  <c:v>1368.4850979284765</c:v>
                </c:pt>
                <c:pt idx="2">
                  <c:v>1343.4556812908961</c:v>
                </c:pt>
                <c:pt idx="3">
                  <c:v>1345.0942006563619</c:v>
                </c:pt>
                <c:pt idx="4">
                  <c:v>1345.1764209842197</c:v>
                </c:pt>
                <c:pt idx="5">
                  <c:v>1338.4010484927917</c:v>
                </c:pt>
                <c:pt idx="6">
                  <c:v>1322.2601757450914</c:v>
                </c:pt>
                <c:pt idx="7">
                  <c:v>1313.7361640355653</c:v>
                </c:pt>
                <c:pt idx="8">
                  <c:v>1358.8455095992783</c:v>
                </c:pt>
                <c:pt idx="9">
                  <c:v>1380.2709889831581</c:v>
                </c:pt>
                <c:pt idx="10">
                  <c:v>1400.9733810091379</c:v>
                </c:pt>
                <c:pt idx="11">
                  <c:v>1440.7339449541284</c:v>
                </c:pt>
                <c:pt idx="12">
                  <c:v>1471.4918116064732</c:v>
                </c:pt>
                <c:pt idx="13">
                  <c:v>1532.7519995794132</c:v>
                </c:pt>
                <c:pt idx="14">
                  <c:v>1612.2693460484013</c:v>
                </c:pt>
                <c:pt idx="15">
                  <c:v>1724.983860555197</c:v>
                </c:pt>
                <c:pt idx="16">
                  <c:v>1799.8461391859321</c:v>
                </c:pt>
                <c:pt idx="17">
                  <c:v>1905.4536427722626</c:v>
                </c:pt>
                <c:pt idx="18">
                  <c:v>2014.1561187690609</c:v>
                </c:pt>
                <c:pt idx="19">
                  <c:v>2174.2385401022689</c:v>
                </c:pt>
                <c:pt idx="20">
                  <c:v>2304.0904076900565</c:v>
                </c:pt>
                <c:pt idx="21">
                  <c:v>2419.9002592195916</c:v>
                </c:pt>
                <c:pt idx="22">
                  <c:v>2522.1128216286788</c:v>
                </c:pt>
                <c:pt idx="23">
                  <c:v>2613.8930321755806</c:v>
                </c:pt>
              </c:numCache>
            </c:numRef>
          </c:val>
          <c:smooth val="0"/>
          <c:extLst xmlns:c16r2="http://schemas.microsoft.com/office/drawing/2015/06/chart">
            <c:ext xmlns:c16="http://schemas.microsoft.com/office/drawing/2014/chart" uri="{C3380CC4-5D6E-409C-BE32-E72D297353CC}">
              <c16:uniqueId val="{00000007-E923-4BAD-BC85-E393B477E8C7}"/>
            </c:ext>
          </c:extLst>
        </c:ser>
        <c:ser>
          <c:idx val="8"/>
          <c:order val="8"/>
          <c:tx>
            <c:strRef>
              <c:f>'Nominal per person (Core)'!$A$14</c:f>
              <c:strCache>
                <c:ptCount val="1"/>
                <c:pt idx="0">
                  <c:v> All other </c:v>
                </c:pt>
              </c:strCache>
            </c:strRef>
          </c:tx>
          <c:spPr>
            <a:ln w="28575" cap="rnd">
              <a:solidFill>
                <a:schemeClr val="tx1"/>
              </a:solidFill>
              <a:prstDash val="sysDash"/>
              <a:round/>
            </a:ln>
            <a:effectLst/>
          </c:spPr>
          <c:marker>
            <c:symbol val="none"/>
          </c:marker>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(Core)'!$B$14:$Y$14</c:f>
              <c:numCache>
                <c:formatCode>_-* #,##0_-;\-* #,##0_-;_-* "-"??_-;_-@_-</c:formatCode>
                <c:ptCount val="24"/>
                <c:pt idx="0">
                  <c:v>839.53865964951569</c:v>
                </c:pt>
                <c:pt idx="1">
                  <c:v>337.29281767955803</c:v>
                </c:pt>
                <c:pt idx="2">
                  <c:v>459.24756356508954</c:v>
                </c:pt>
                <c:pt idx="3">
                  <c:v>496.78456591639872</c:v>
                </c:pt>
                <c:pt idx="4">
                  <c:v>636.28910692090017</c:v>
                </c:pt>
                <c:pt idx="5">
                  <c:v>841.67758846657932</c:v>
                </c:pt>
                <c:pt idx="6">
                  <c:v>963.99050872206726</c:v>
                </c:pt>
                <c:pt idx="7">
                  <c:v>837.28646602898095</c:v>
                </c:pt>
                <c:pt idx="8">
                  <c:v>982.0899368638062</c:v>
                </c:pt>
                <c:pt idx="9">
                  <c:v>1121.1852602254021</c:v>
                </c:pt>
                <c:pt idx="10">
                  <c:v>1005.6615017878427</c:v>
                </c:pt>
                <c:pt idx="11">
                  <c:v>1085.5045871559632</c:v>
                </c:pt>
                <c:pt idx="12">
                  <c:v>1300.7087737971408</c:v>
                </c:pt>
                <c:pt idx="13">
                  <c:v>1381.2451757980991</c:v>
                </c:pt>
                <c:pt idx="14">
                  <c:v>1479.6891942441275</c:v>
                </c:pt>
                <c:pt idx="15">
                  <c:v>1874.5231527671813</c:v>
                </c:pt>
                <c:pt idx="16">
                  <c:v>1912.5689410331915</c:v>
                </c:pt>
                <c:pt idx="17">
                  <c:v>1766.6244509466358</c:v>
                </c:pt>
                <c:pt idx="18">
                  <c:v>2103.5727890473704</c:v>
                </c:pt>
                <c:pt idx="19">
                  <c:v>1623.419344007913</c:v>
                </c:pt>
                <c:pt idx="20">
                  <c:v>1663.6275635397672</c:v>
                </c:pt>
                <c:pt idx="21">
                  <c:v>1675.059704769064</c:v>
                </c:pt>
                <c:pt idx="22">
                  <c:v>1634.1184790295381</c:v>
                </c:pt>
                <c:pt idx="23">
                  <c:v>1640.3153633070531</c:v>
                </c:pt>
              </c:numCache>
            </c:numRef>
          </c:val>
          <c:smooth val="0"/>
          <c:extLst xmlns:c16r2="http://schemas.microsoft.com/office/drawing/2015/06/chart">
            <c:ext xmlns:c16="http://schemas.microsoft.com/office/drawing/2014/chart" uri="{C3380CC4-5D6E-409C-BE32-E72D297353CC}">
              <c16:uniqueId val="{00000008-E923-4BAD-BC85-E393B477E8C7}"/>
            </c:ext>
          </c:extLst>
        </c:ser>
        <c:dLbls>
          <c:showLegendKey val="0"/>
          <c:showVal val="0"/>
          <c:showCatName val="0"/>
          <c:showSerName val="0"/>
          <c:showPercent val="0"/>
          <c:showBubbleSize val="0"/>
        </c:dLbls>
        <c:smooth val="0"/>
        <c:axId val="249611520"/>
        <c:axId val="249615736"/>
      </c:lineChart>
      <c:dateAx>
        <c:axId val="249611520"/>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49615736"/>
        <c:crosses val="autoZero"/>
        <c:auto val="0"/>
        <c:lblOffset val="100"/>
        <c:baseTimeUnit val="years"/>
        <c:majorUnit val="4"/>
        <c:majorTimeUnit val="years"/>
      </c:dateAx>
      <c:valAx>
        <c:axId val="249615736"/>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49611520"/>
        <c:crosses val="autoZero"/>
        <c:crossBetween val="between"/>
      </c:valAx>
      <c:spPr>
        <a:noFill/>
        <a:ln>
          <a:noFill/>
        </a:ln>
        <a:effectLst/>
      </c:spPr>
    </c:plotArea>
    <c:legend>
      <c:legendPos val="b"/>
      <c:layout>
        <c:manualLayout>
          <c:xMode val="edge"/>
          <c:yMode val="edge"/>
          <c:x val="0.11669269466316713"/>
          <c:y val="0.12724919801691456"/>
          <c:w val="0.78883683289588802"/>
          <c:h val="0.3171952464275299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Weekly tax</a:t>
            </a:r>
            <a:r>
              <a:rPr lang="en-US" baseline="0"/>
              <a:t> bill for average taxpayer (real)</a:t>
            </a:r>
            <a:endParaRPr lang="en-US"/>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5284-4F46-A93F-F69602745C0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5284-4F46-A93F-F69602745C0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5284-4F46-A93F-F69602745C04}"/>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5284-4F46-A93F-F69602745C04}"/>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5284-4F46-A93F-F69602745C04}"/>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5284-4F46-A93F-F69602745C04}"/>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5284-4F46-A93F-F69602745C04}"/>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5284-4F46-A93F-F69602745C04}"/>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5284-4F46-A93F-F69602745C0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'Real per person (Core)'!$A$37:$A$45</c:f>
              <c:strCache>
                <c:ptCount val="9"/>
                <c:pt idx="0">
                  <c:v> Core govt services </c:v>
                </c:pt>
                <c:pt idx="1">
                  <c:v> Defence </c:v>
                </c:pt>
                <c:pt idx="2">
                  <c:v> Education </c:v>
                </c:pt>
                <c:pt idx="3">
                  <c:v> Finance costs </c:v>
                </c:pt>
                <c:pt idx="4">
                  <c:v> Health </c:v>
                </c:pt>
                <c:pt idx="5">
                  <c:v> Law and order </c:v>
                </c:pt>
                <c:pt idx="6">
                  <c:v> Welfare </c:v>
                </c:pt>
                <c:pt idx="7">
                  <c:v> NZ super </c:v>
                </c:pt>
                <c:pt idx="8">
                  <c:v> All other </c:v>
                </c:pt>
              </c:strCache>
            </c:strRef>
          </c:cat>
          <c:val>
            <c:numRef>
              <c:f>'Real per person (Core)'!$AD$37:$AD$45</c:f>
              <c:numCache>
                <c:formatCode>"$"#,##0.00</c:formatCode>
                <c:ptCount val="9"/>
                <c:pt idx="0">
                  <c:v>15.846933850489739</c:v>
                </c:pt>
                <c:pt idx="1">
                  <c:v>8.8950837675460548</c:v>
                </c:pt>
                <c:pt idx="2">
                  <c:v>54.236062679579838</c:v>
                </c:pt>
                <c:pt idx="3">
                  <c:v>13.021034161261648</c:v>
                </c:pt>
                <c:pt idx="4">
                  <c:v>64.588571710577668</c:v>
                </c:pt>
                <c:pt idx="5">
                  <c:v>15.973517734874047</c:v>
                </c:pt>
                <c:pt idx="6">
                  <c:v>45.826787333184384</c:v>
                </c:pt>
                <c:pt idx="7">
                  <c:v>54.478966890155142</c:v>
                </c:pt>
                <c:pt idx="8">
                  <c:v>32.381526099932081</c:v>
                </c:pt>
              </c:numCache>
            </c:numRef>
          </c:val>
          <c:extLst xmlns:c16r2="http://schemas.microsoft.com/office/drawing/2015/06/chart">
            <c:ext xmlns:c16="http://schemas.microsoft.com/office/drawing/2014/chart" uri="{C3380CC4-5D6E-409C-BE32-E72D297353CC}">
              <c16:uniqueId val="{00000012-5284-4F46-A93F-F69602745C0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Annual  Real per capita spending</a:t>
            </a:r>
          </a:p>
        </c:rich>
      </c:tx>
      <c:layout>
        <c:manualLayout>
          <c:xMode val="edge"/>
          <c:yMode val="edge"/>
          <c:x val="0.22691666666666666"/>
          <c:y val="4.6296296296296294E-3"/>
        </c:manualLayout>
      </c:layout>
      <c:overlay val="0"/>
      <c:spPr>
        <a:noFill/>
        <a:ln>
          <a:noFill/>
        </a:ln>
        <a:effectLst/>
      </c:spPr>
    </c:title>
    <c:autoTitleDeleted val="0"/>
    <c:plotArea>
      <c:layout>
        <c:manualLayout>
          <c:layoutTarget val="inner"/>
          <c:xMode val="edge"/>
          <c:yMode val="edge"/>
          <c:x val="0.17049584426946632"/>
          <c:y val="0.34675962379702541"/>
          <c:w val="0.79130839895013128"/>
          <c:h val="0.4834594634004083"/>
        </c:manualLayout>
      </c:layout>
      <c:lineChart>
        <c:grouping val="standard"/>
        <c:varyColors val="0"/>
        <c:ser>
          <c:idx val="0"/>
          <c:order val="0"/>
          <c:tx>
            <c:strRef>
              <c:f>'Real per person (Core)'!$A$6</c:f>
              <c:strCache>
                <c:ptCount val="1"/>
                <c:pt idx="0">
                  <c:v> Core govt services </c:v>
                </c:pt>
              </c:strCache>
            </c:strRef>
          </c:tx>
          <c:spPr>
            <a:ln w="28575" cap="rnd">
              <a:solidFill>
                <a:srgbClr val="00B0F0"/>
              </a:solidFill>
              <a:prstDash val="sysDash"/>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(Core)'!$B$6:$AC$6</c:f>
              <c:numCache>
                <c:formatCode>_-* #,##0_-;\-* #,##0_-;_-* "-"??_-;_-@_-</c:formatCode>
                <c:ptCount val="28"/>
                <c:pt idx="0">
                  <c:v>652.96160219504429</c:v>
                </c:pt>
                <c:pt idx="1">
                  <c:v>750.12792889257935</c:v>
                </c:pt>
                <c:pt idx="2">
                  <c:v>549.71757077302641</c:v>
                </c:pt>
                <c:pt idx="3">
                  <c:v>619.54888156629283</c:v>
                </c:pt>
                <c:pt idx="4">
                  <c:v>644.10749038338179</c:v>
                </c:pt>
                <c:pt idx="5">
                  <c:v>588.42553295408948</c:v>
                </c:pt>
                <c:pt idx="6">
                  <c:v>641.25889838727892</c:v>
                </c:pt>
                <c:pt idx="7">
                  <c:v>626.83494701268262</c:v>
                </c:pt>
                <c:pt idx="8">
                  <c:v>634.68661918577948</c:v>
                </c:pt>
                <c:pt idx="9">
                  <c:v>519.93257948076553</c:v>
                </c:pt>
                <c:pt idx="10">
                  <c:v>694.79995083337667</c:v>
                </c:pt>
                <c:pt idx="11">
                  <c:v>656.47118749164349</c:v>
                </c:pt>
                <c:pt idx="12">
                  <c:v>774.590338924261</c:v>
                </c:pt>
                <c:pt idx="13">
                  <c:v>718.91660672508681</c:v>
                </c:pt>
                <c:pt idx="14">
                  <c:v>1341.3991829608881</c:v>
                </c:pt>
                <c:pt idx="15">
                  <c:v>895.03599852619527</c:v>
                </c:pt>
                <c:pt idx="16">
                  <c:v>1365.6124974261195</c:v>
                </c:pt>
                <c:pt idx="17">
                  <c:v>746.39440398450301</c:v>
                </c:pt>
                <c:pt idx="18">
                  <c:v>1316.101467795588</c:v>
                </c:pt>
                <c:pt idx="19">
                  <c:v>1265.1401160547741</c:v>
                </c:pt>
                <c:pt idx="20">
                  <c:v>986.38766643281872</c:v>
                </c:pt>
                <c:pt idx="21">
                  <c:v>1002.4717486309884</c:v>
                </c:pt>
                <c:pt idx="22">
                  <c:v>899.52673665886959</c:v>
                </c:pt>
                <c:pt idx="23">
                  <c:v>870.44092331387878</c:v>
                </c:pt>
                <c:pt idx="24">
                  <c:v>841.06667437457008</c:v>
                </c:pt>
                <c:pt idx="25">
                  <c:v>944.74719356019239</c:v>
                </c:pt>
                <c:pt idx="26">
                  <c:v>857.77476321603899</c:v>
                </c:pt>
                <c:pt idx="27">
                  <c:v>846.93067684100834</c:v>
                </c:pt>
              </c:numCache>
            </c:numRef>
          </c:val>
          <c:smooth val="0"/>
          <c:extLst xmlns:c16r2="http://schemas.microsoft.com/office/drawing/2015/06/chart">
            <c:ext xmlns:c16="http://schemas.microsoft.com/office/drawing/2014/chart" uri="{C3380CC4-5D6E-409C-BE32-E72D297353CC}">
              <c16:uniqueId val="{00000000-0C3A-4D6F-B862-5251B5A2CDD5}"/>
            </c:ext>
          </c:extLst>
        </c:ser>
        <c:ser>
          <c:idx val="1"/>
          <c:order val="1"/>
          <c:tx>
            <c:strRef>
              <c:f>'Real per person (Core)'!$A$7</c:f>
              <c:strCache>
                <c:ptCount val="1"/>
                <c:pt idx="0">
                  <c:v> Defence </c:v>
                </c:pt>
              </c:strCache>
            </c:strRef>
          </c:tx>
          <c:spPr>
            <a:ln w="28575" cap="rnd">
              <a:solidFill>
                <a:schemeClr val="accent2"/>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(Core)'!$B$7:$AC$7</c:f>
              <c:numCache>
                <c:formatCode>_-* #,##0_-;\-* #,##0_-;_-* "-"??_-;_-@_-</c:formatCode>
                <c:ptCount val="28"/>
                <c:pt idx="0">
                  <c:v>523.17210339807866</c:v>
                </c:pt>
                <c:pt idx="1">
                  <c:v>456.69425270360756</c:v>
                </c:pt>
                <c:pt idx="2">
                  <c:v>415.57007402468338</c:v>
                </c:pt>
                <c:pt idx="3">
                  <c:v>384.00154320722316</c:v>
                </c:pt>
                <c:pt idx="4">
                  <c:v>365.52230708019147</c:v>
                </c:pt>
                <c:pt idx="5">
                  <c:v>401.19922701415192</c:v>
                </c:pt>
                <c:pt idx="6">
                  <c:v>387.38807351254968</c:v>
                </c:pt>
                <c:pt idx="7">
                  <c:v>457.11297013147083</c:v>
                </c:pt>
                <c:pt idx="8">
                  <c:v>438.42090157326925</c:v>
                </c:pt>
                <c:pt idx="9">
                  <c:v>392.31276451730491</c:v>
                </c:pt>
                <c:pt idx="10">
                  <c:v>391.11039485878814</c:v>
                </c:pt>
                <c:pt idx="11">
                  <c:v>411.589539359897</c:v>
                </c:pt>
                <c:pt idx="12">
                  <c:v>384.73030079019583</c:v>
                </c:pt>
                <c:pt idx="13">
                  <c:v>396.59420307171723</c:v>
                </c:pt>
                <c:pt idx="14">
                  <c:v>422.52960144345252</c:v>
                </c:pt>
                <c:pt idx="15">
                  <c:v>414.7274487386286</c:v>
                </c:pt>
                <c:pt idx="16">
                  <c:v>453.31214018093556</c:v>
                </c:pt>
                <c:pt idx="17">
                  <c:v>455.26545017750112</c:v>
                </c:pt>
                <c:pt idx="18">
                  <c:v>427.97547281003392</c:v>
                </c:pt>
                <c:pt idx="19">
                  <c:v>404.62108354294173</c:v>
                </c:pt>
                <c:pt idx="20">
                  <c:v>414.40227066716466</c:v>
                </c:pt>
                <c:pt idx="21">
                  <c:v>403.25995930047088</c:v>
                </c:pt>
                <c:pt idx="22">
                  <c:v>426.69858020997663</c:v>
                </c:pt>
                <c:pt idx="23">
                  <c:v>429.91548284590891</c:v>
                </c:pt>
                <c:pt idx="24">
                  <c:v>436.38129907982795</c:v>
                </c:pt>
                <c:pt idx="25">
                  <c:v>447.82442410585821</c:v>
                </c:pt>
                <c:pt idx="26">
                  <c:v>462.67156787620792</c:v>
                </c:pt>
                <c:pt idx="27">
                  <c:v>463.00105772026399</c:v>
                </c:pt>
              </c:numCache>
            </c:numRef>
          </c:val>
          <c:smooth val="0"/>
          <c:extLst xmlns:c16r2="http://schemas.microsoft.com/office/drawing/2015/06/chart">
            <c:ext xmlns:c16="http://schemas.microsoft.com/office/drawing/2014/chart" uri="{C3380CC4-5D6E-409C-BE32-E72D297353CC}">
              <c16:uniqueId val="{00000001-0C3A-4D6F-B862-5251B5A2CDD5}"/>
            </c:ext>
          </c:extLst>
        </c:ser>
        <c:ser>
          <c:idx val="2"/>
          <c:order val="2"/>
          <c:tx>
            <c:strRef>
              <c:f>'Real per person (Core)'!$A$8</c:f>
              <c:strCache>
                <c:ptCount val="1"/>
                <c:pt idx="0">
                  <c:v> Education </c:v>
                </c:pt>
              </c:strCache>
            </c:strRef>
          </c:tx>
          <c:spPr>
            <a:ln w="28575" cap="rnd">
              <a:solidFill>
                <a:srgbClr val="FF0000"/>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(Core)'!$B$8:$AC$8</c:f>
              <c:numCache>
                <c:formatCode>_-* #,##0_-;\-* #,##0_-;_-* "-"??_-;_-@_-</c:formatCode>
                <c:ptCount val="28"/>
                <c:pt idx="0">
                  <c:v>2024.4485740186519</c:v>
                </c:pt>
                <c:pt idx="1">
                  <c:v>2014.4178334219182</c:v>
                </c:pt>
                <c:pt idx="2">
                  <c:v>1970.3682779274968</c:v>
                </c:pt>
                <c:pt idx="3">
                  <c:v>1959.1996261160282</c:v>
                </c:pt>
                <c:pt idx="4">
                  <c:v>2061.3758015568937</c:v>
                </c:pt>
                <c:pt idx="5">
                  <c:v>2152.5374489754595</c:v>
                </c:pt>
                <c:pt idx="6">
                  <c:v>2218.6429569422626</c:v>
                </c:pt>
                <c:pt idx="7">
                  <c:v>2313.0576114912437</c:v>
                </c:pt>
                <c:pt idx="8">
                  <c:v>2165.9828116373428</c:v>
                </c:pt>
                <c:pt idx="9">
                  <c:v>2185.4049266097372</c:v>
                </c:pt>
                <c:pt idx="10">
                  <c:v>2288.5992746699394</c:v>
                </c:pt>
                <c:pt idx="11">
                  <c:v>2381.3170526657655</c:v>
                </c:pt>
                <c:pt idx="12">
                  <c:v>2392.871596287257</c:v>
                </c:pt>
                <c:pt idx="13">
                  <c:v>2842.9753646081017</c:v>
                </c:pt>
                <c:pt idx="14">
                  <c:v>2581.6920736844831</c:v>
                </c:pt>
                <c:pt idx="15">
                  <c:v>2535.8910774024598</c:v>
                </c:pt>
                <c:pt idx="16">
                  <c:v>2955.4300317430943</c:v>
                </c:pt>
                <c:pt idx="17">
                  <c:v>2942.4102193390427</c:v>
                </c:pt>
                <c:pt idx="18">
                  <c:v>2756.1715081464317</c:v>
                </c:pt>
                <c:pt idx="19">
                  <c:v>2716.275407609126</c:v>
                </c:pt>
                <c:pt idx="20">
                  <c:v>2872.3314813870438</c:v>
                </c:pt>
                <c:pt idx="21">
                  <c:v>2738.8721697381511</c:v>
                </c:pt>
                <c:pt idx="22">
                  <c:v>2802.3717565141706</c:v>
                </c:pt>
                <c:pt idx="23">
                  <c:v>2792.1164478215546</c:v>
                </c:pt>
                <c:pt idx="24">
                  <c:v>2735.2559777374786</c:v>
                </c:pt>
                <c:pt idx="25">
                  <c:v>2727.3338932282504</c:v>
                </c:pt>
                <c:pt idx="26">
                  <c:v>2778.1289894547053</c:v>
                </c:pt>
                <c:pt idx="27">
                  <c:v>2786.1162374599958</c:v>
                </c:pt>
              </c:numCache>
            </c:numRef>
          </c:val>
          <c:smooth val="0"/>
          <c:extLst xmlns:c16r2="http://schemas.microsoft.com/office/drawing/2015/06/chart">
            <c:ext xmlns:c16="http://schemas.microsoft.com/office/drawing/2014/chart" uri="{C3380CC4-5D6E-409C-BE32-E72D297353CC}">
              <c16:uniqueId val="{00000002-0C3A-4D6F-B862-5251B5A2CDD5}"/>
            </c:ext>
          </c:extLst>
        </c:ser>
        <c:ser>
          <c:idx val="3"/>
          <c:order val="3"/>
          <c:tx>
            <c:strRef>
              <c:f>'Real per person (Core)'!$A$9</c:f>
              <c:strCache>
                <c:ptCount val="1"/>
                <c:pt idx="0">
                  <c:v> Finance costs </c:v>
                </c:pt>
              </c:strCache>
            </c:strRef>
          </c:tx>
          <c:spPr>
            <a:ln w="28575" cap="rnd">
              <a:solidFill>
                <a:srgbClr val="FF0000"/>
              </a:solidFill>
              <a:prstDash val="dash"/>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(Core)'!$B$9:$AC$9</c:f>
              <c:numCache>
                <c:formatCode>_-* #,##0_-;\-* #,##0_-;_-* "-"??_-;_-@_-</c:formatCode>
                <c:ptCount val="28"/>
                <c:pt idx="0">
                  <c:v>1766.6536245181494</c:v>
                </c:pt>
                <c:pt idx="1">
                  <c:v>1649.1495035665066</c:v>
                </c:pt>
                <c:pt idx="2">
                  <c:v>1541.2603831300446</c:v>
                </c:pt>
                <c:pt idx="3">
                  <c:v>1465.9357881405642</c:v>
                </c:pt>
                <c:pt idx="4">
                  <c:v>1186.9815299686557</c:v>
                </c:pt>
                <c:pt idx="5">
                  <c:v>1056.3029413593258</c:v>
                </c:pt>
                <c:pt idx="6">
                  <c:v>946.27999316269404</c:v>
                </c:pt>
                <c:pt idx="7">
                  <c:v>869.87095278426648</c:v>
                </c:pt>
                <c:pt idx="8">
                  <c:v>813.30254204896323</c:v>
                </c:pt>
                <c:pt idx="9">
                  <c:v>715.0761060651048</c:v>
                </c:pt>
                <c:pt idx="10">
                  <c:v>769.82529763698074</c:v>
                </c:pt>
                <c:pt idx="11">
                  <c:v>707.01727127268362</c:v>
                </c:pt>
                <c:pt idx="12">
                  <c:v>686.1778070563962</c:v>
                </c:pt>
                <c:pt idx="13">
                  <c:v>675.61528737307719</c:v>
                </c:pt>
                <c:pt idx="14">
                  <c:v>648.69574275662546</c:v>
                </c:pt>
                <c:pt idx="15">
                  <c:v>653.15590518375564</c:v>
                </c:pt>
                <c:pt idx="16">
                  <c:v>626.69048861667193</c:v>
                </c:pt>
                <c:pt idx="17">
                  <c:v>579.99914848963897</c:v>
                </c:pt>
                <c:pt idx="18">
                  <c:v>725.35809819544716</c:v>
                </c:pt>
                <c:pt idx="19">
                  <c:v>818.33215686593803</c:v>
                </c:pt>
                <c:pt idx="20">
                  <c:v>831.33138444815359</c:v>
                </c:pt>
                <c:pt idx="21">
                  <c:v>806.07457353269172</c:v>
                </c:pt>
                <c:pt idx="22">
                  <c:v>823.15182505575808</c:v>
                </c:pt>
                <c:pt idx="23">
                  <c:v>761.79495726397488</c:v>
                </c:pt>
                <c:pt idx="24">
                  <c:v>733.70951316702087</c:v>
                </c:pt>
                <c:pt idx="25">
                  <c:v>691.53435605736627</c:v>
                </c:pt>
                <c:pt idx="26">
                  <c:v>649.53438344997335</c:v>
                </c:pt>
                <c:pt idx="27">
                  <c:v>674.96412156513009</c:v>
                </c:pt>
              </c:numCache>
            </c:numRef>
          </c:val>
          <c:smooth val="0"/>
          <c:extLst xmlns:c16r2="http://schemas.microsoft.com/office/drawing/2015/06/chart">
            <c:ext xmlns:c16="http://schemas.microsoft.com/office/drawing/2014/chart" uri="{C3380CC4-5D6E-409C-BE32-E72D297353CC}">
              <c16:uniqueId val="{00000003-0C3A-4D6F-B862-5251B5A2CDD5}"/>
            </c:ext>
          </c:extLst>
        </c:ser>
        <c:ser>
          <c:idx val="4"/>
          <c:order val="4"/>
          <c:tx>
            <c:strRef>
              <c:f>'Real per person (Core)'!$A$10</c:f>
              <c:strCache>
                <c:ptCount val="1"/>
                <c:pt idx="0">
                  <c:v> Health </c:v>
                </c:pt>
              </c:strCache>
            </c:strRef>
          </c:tx>
          <c:spPr>
            <a:ln w="28575" cap="rnd">
              <a:solidFill>
                <a:schemeClr val="accent5"/>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(Core)'!$B$10:$AC$10</c:f>
              <c:numCache>
                <c:formatCode>_-* #,##0_-;\-* #,##0_-;_-* "-"??_-;_-@_-</c:formatCode>
                <c:ptCount val="28"/>
                <c:pt idx="0">
                  <c:v>1858.9781133531044</c:v>
                </c:pt>
                <c:pt idx="1">
                  <c:v>2003.5337949876093</c:v>
                </c:pt>
                <c:pt idx="2">
                  <c:v>2004.4179483559753</c:v>
                </c:pt>
                <c:pt idx="3">
                  <c:v>2069.6495545230541</c:v>
                </c:pt>
                <c:pt idx="4">
                  <c:v>2173.8144816418148</c:v>
                </c:pt>
                <c:pt idx="5">
                  <c:v>2260.6540481802126</c:v>
                </c:pt>
                <c:pt idx="6">
                  <c:v>2472.1376768912514</c:v>
                </c:pt>
                <c:pt idx="7">
                  <c:v>2519.8031729620939</c:v>
                </c:pt>
                <c:pt idx="8">
                  <c:v>2350.9526606102845</c:v>
                </c:pt>
                <c:pt idx="9">
                  <c:v>2374.1337005900932</c:v>
                </c:pt>
                <c:pt idx="10">
                  <c:v>2446.8048972775396</c:v>
                </c:pt>
                <c:pt idx="11">
                  <c:v>2546.4551897392257</c:v>
                </c:pt>
                <c:pt idx="12">
                  <c:v>2659.3161889129383</c:v>
                </c:pt>
                <c:pt idx="13">
                  <c:v>2737.733085123416</c:v>
                </c:pt>
                <c:pt idx="14">
                  <c:v>2884.1753612043176</c:v>
                </c:pt>
                <c:pt idx="15">
                  <c:v>2999.4724637645886</c:v>
                </c:pt>
                <c:pt idx="16">
                  <c:v>3190.9872224005758</c:v>
                </c:pt>
                <c:pt idx="17">
                  <c:v>3294.7766427399306</c:v>
                </c:pt>
                <c:pt idx="18">
                  <c:v>3253.7018670847965</c:v>
                </c:pt>
                <c:pt idx="19">
                  <c:v>3300.3655201428887</c:v>
                </c:pt>
                <c:pt idx="20">
                  <c:v>3330.3792240202624</c:v>
                </c:pt>
                <c:pt idx="21">
                  <c:v>3317.3754133950388</c:v>
                </c:pt>
                <c:pt idx="22">
                  <c:v>3276.5054670075615</c:v>
                </c:pt>
                <c:pt idx="23">
                  <c:v>3315.8239560464822</c:v>
                </c:pt>
                <c:pt idx="24">
                  <c:v>3298.0119922959075</c:v>
                </c:pt>
                <c:pt idx="25">
                  <c:v>3336.5097345075278</c:v>
                </c:pt>
                <c:pt idx="26">
                  <c:v>3381.4725645606022</c:v>
                </c:pt>
                <c:pt idx="27">
                  <c:v>3376.663764902562</c:v>
                </c:pt>
              </c:numCache>
            </c:numRef>
          </c:val>
          <c:smooth val="0"/>
          <c:extLst xmlns:c16r2="http://schemas.microsoft.com/office/drawing/2015/06/chart">
            <c:ext xmlns:c16="http://schemas.microsoft.com/office/drawing/2014/chart" uri="{C3380CC4-5D6E-409C-BE32-E72D297353CC}">
              <c16:uniqueId val="{00000004-0C3A-4D6F-B862-5251B5A2CDD5}"/>
            </c:ext>
          </c:extLst>
        </c:ser>
        <c:ser>
          <c:idx val="5"/>
          <c:order val="5"/>
          <c:tx>
            <c:strRef>
              <c:f>'Real per person (Core)'!$A$11</c:f>
              <c:strCache>
                <c:ptCount val="1"/>
                <c:pt idx="0">
                  <c:v> Law and order </c:v>
                </c:pt>
              </c:strCache>
            </c:strRef>
          </c:tx>
          <c:spPr>
            <a:ln w="28575" cap="rnd">
              <a:solidFill>
                <a:schemeClr val="accent6"/>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(Core)'!$B$11:$AC$11</c:f>
              <c:numCache>
                <c:formatCode>_-* #,##0_-;\-* #,##0_-;_-* "-"??_-;_-@_-</c:formatCode>
                <c:ptCount val="28"/>
                <c:pt idx="0">
                  <c:v>470.09667261856333</c:v>
                </c:pt>
                <c:pt idx="1">
                  <c:v>500.66576797821608</c:v>
                </c:pt>
                <c:pt idx="2">
                  <c:v>488.18202180589657</c:v>
                </c:pt>
                <c:pt idx="3">
                  <c:v>488.51330342032298</c:v>
                </c:pt>
                <c:pt idx="4">
                  <c:v>494.96202470372651</c:v>
                </c:pt>
                <c:pt idx="5">
                  <c:v>506.67883599439847</c:v>
                </c:pt>
                <c:pt idx="6">
                  <c:v>563.78128368476894</c:v>
                </c:pt>
                <c:pt idx="7">
                  <c:v>561.21889115579927</c:v>
                </c:pt>
                <c:pt idx="8">
                  <c:v>543.96667417424146</c:v>
                </c:pt>
                <c:pt idx="9">
                  <c:v>585.09296119491341</c:v>
                </c:pt>
                <c:pt idx="10">
                  <c:v>565.62587546717145</c:v>
                </c:pt>
                <c:pt idx="11">
                  <c:v>578.61138141898573</c:v>
                </c:pt>
                <c:pt idx="12">
                  <c:v>596.55827816644478</c:v>
                </c:pt>
                <c:pt idx="13">
                  <c:v>640.91687915060595</c:v>
                </c:pt>
                <c:pt idx="14">
                  <c:v>751.75174310868704</c:v>
                </c:pt>
                <c:pt idx="15">
                  <c:v>768.3874754478818</c:v>
                </c:pt>
                <c:pt idx="16">
                  <c:v>796.97279511605575</c:v>
                </c:pt>
                <c:pt idx="17">
                  <c:v>800.85559620529557</c:v>
                </c:pt>
                <c:pt idx="18">
                  <c:v>800.11777172113591</c:v>
                </c:pt>
                <c:pt idx="19">
                  <c:v>793.15987747501765</c:v>
                </c:pt>
                <c:pt idx="20">
                  <c:v>793.88816376148623</c:v>
                </c:pt>
                <c:pt idx="21">
                  <c:v>779.57654197181034</c:v>
                </c:pt>
                <c:pt idx="22">
                  <c:v>764.83707773486378</c:v>
                </c:pt>
                <c:pt idx="23">
                  <c:v>774.10250810556545</c:v>
                </c:pt>
                <c:pt idx="24">
                  <c:v>811.2111590673278</c:v>
                </c:pt>
                <c:pt idx="25">
                  <c:v>804.18338228028119</c:v>
                </c:pt>
                <c:pt idx="26">
                  <c:v>819.2187992263548</c:v>
                </c:pt>
                <c:pt idx="27">
                  <c:v>824.62847621037452</c:v>
                </c:pt>
              </c:numCache>
            </c:numRef>
          </c:val>
          <c:smooth val="0"/>
          <c:extLst xmlns:c16r2="http://schemas.microsoft.com/office/drawing/2015/06/chart">
            <c:ext xmlns:c16="http://schemas.microsoft.com/office/drawing/2014/chart" uri="{C3380CC4-5D6E-409C-BE32-E72D297353CC}">
              <c16:uniqueId val="{00000005-0C3A-4D6F-B862-5251B5A2CDD5}"/>
            </c:ext>
          </c:extLst>
        </c:ser>
        <c:ser>
          <c:idx val="6"/>
          <c:order val="6"/>
          <c:tx>
            <c:strRef>
              <c:f>'Real per person (Core)'!$A$12</c:f>
              <c:strCache>
                <c:ptCount val="1"/>
                <c:pt idx="0">
                  <c:v> Welfare </c:v>
                </c:pt>
              </c:strCache>
            </c:strRef>
          </c:tx>
          <c:spPr>
            <a:ln w="28575" cap="rnd">
              <a:solidFill>
                <a:srgbClr val="00B0F0"/>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(Core)'!$B$12:$AC$12</c:f>
              <c:numCache>
                <c:formatCode>_-* #,##0_-;\-* #,##0_-;_-* "-"??_-;_-@_-</c:formatCode>
                <c:ptCount val="28"/>
                <c:pt idx="0">
                  <c:v>3081.9210813418786</c:v>
                </c:pt>
                <c:pt idx="1">
                  <c:v>2840.7705779961238</c:v>
                </c:pt>
                <c:pt idx="2">
                  <c:v>2785.0783935208915</c:v>
                </c:pt>
                <c:pt idx="3">
                  <c:v>2858.2812209209037</c:v>
                </c:pt>
                <c:pt idx="4">
                  <c:v>2910.8420697638462</c:v>
                </c:pt>
                <c:pt idx="5">
                  <c:v>2788.8055188598751</c:v>
                </c:pt>
                <c:pt idx="6">
                  <c:v>2946.78209317556</c:v>
                </c:pt>
                <c:pt idx="7">
                  <c:v>2869.5110907691692</c:v>
                </c:pt>
                <c:pt idx="8">
                  <c:v>2800.6694308231222</c:v>
                </c:pt>
                <c:pt idx="9">
                  <c:v>2712.7651143687995</c:v>
                </c:pt>
                <c:pt idx="10">
                  <c:v>2696.0195275295109</c:v>
                </c:pt>
                <c:pt idx="11">
                  <c:v>2625.5707991356358</c:v>
                </c:pt>
                <c:pt idx="12">
                  <c:v>2594.7418482312892</c:v>
                </c:pt>
                <c:pt idx="13">
                  <c:v>2633.6378604560023</c:v>
                </c:pt>
                <c:pt idx="14">
                  <c:v>2773.599058123863</c:v>
                </c:pt>
                <c:pt idx="15">
                  <c:v>2795.5603762925871</c:v>
                </c:pt>
                <c:pt idx="16">
                  <c:v>3002.6446712724687</c:v>
                </c:pt>
                <c:pt idx="17">
                  <c:v>3236.2998787424899</c:v>
                </c:pt>
                <c:pt idx="18">
                  <c:v>3116.9579072814799</c:v>
                </c:pt>
                <c:pt idx="19">
                  <c:v>2900.4059698204878</c:v>
                </c:pt>
                <c:pt idx="20">
                  <c:v>2872.7909074077393</c:v>
                </c:pt>
                <c:pt idx="21">
                  <c:v>2754.0139020586548</c:v>
                </c:pt>
                <c:pt idx="22">
                  <c:v>2596.311809824294</c:v>
                </c:pt>
                <c:pt idx="23">
                  <c:v>2506.9207869405568</c:v>
                </c:pt>
                <c:pt idx="24">
                  <c:v>2527.903289233755</c:v>
                </c:pt>
                <c:pt idx="25">
                  <c:v>2504.6095443692361</c:v>
                </c:pt>
                <c:pt idx="26">
                  <c:v>2517.208183643329</c:v>
                </c:pt>
                <c:pt idx="27">
                  <c:v>2434.0732357698271</c:v>
                </c:pt>
              </c:numCache>
            </c:numRef>
          </c:val>
          <c:smooth val="0"/>
          <c:extLst xmlns:c16r2="http://schemas.microsoft.com/office/drawing/2015/06/chart">
            <c:ext xmlns:c16="http://schemas.microsoft.com/office/drawing/2014/chart" uri="{C3380CC4-5D6E-409C-BE32-E72D297353CC}">
              <c16:uniqueId val="{00000006-0C3A-4D6F-B862-5251B5A2CDD5}"/>
            </c:ext>
          </c:extLst>
        </c:ser>
        <c:ser>
          <c:idx val="7"/>
          <c:order val="7"/>
          <c:tx>
            <c:strRef>
              <c:f>'Real per person (Core)'!$A$13</c:f>
              <c:strCache>
                <c:ptCount val="1"/>
                <c:pt idx="0">
                  <c:v> NZ super </c:v>
                </c:pt>
              </c:strCache>
            </c:strRef>
          </c:tx>
          <c:spPr>
            <a:ln w="28575" cap="rnd">
              <a:solidFill>
                <a:schemeClr val="accent2">
                  <a:lumMod val="60000"/>
                </a:schemeClr>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(Core)'!$B$13:$AC$13</c:f>
              <c:numCache>
                <c:formatCode>_-* #,##0_-;\-* #,##0_-;_-* "-"??_-;_-@_-</c:formatCode>
                <c:ptCount val="28"/>
                <c:pt idx="0">
                  <c:v>2301.8900526037373</c:v>
                </c:pt>
                <c:pt idx="1">
                  <c:v>2156.7445095012176</c:v>
                </c:pt>
                <c:pt idx="2">
                  <c:v>2024.5401137499748</c:v>
                </c:pt>
                <c:pt idx="3">
                  <c:v>1987.2640253228185</c:v>
                </c:pt>
                <c:pt idx="4">
                  <c:v>1965.3646060839512</c:v>
                </c:pt>
                <c:pt idx="5">
                  <c:v>1923.4960123326384</c:v>
                </c:pt>
                <c:pt idx="6">
                  <c:v>1907.2280784292614</c:v>
                </c:pt>
                <c:pt idx="7">
                  <c:v>1857.7774920820323</c:v>
                </c:pt>
                <c:pt idx="8">
                  <c:v>1861.3473542639683</c:v>
                </c:pt>
                <c:pt idx="9">
                  <c:v>1840.0211416689431</c:v>
                </c:pt>
                <c:pt idx="10">
                  <c:v>1840.4043768084089</c:v>
                </c:pt>
                <c:pt idx="11">
                  <c:v>1848.856443394686</c:v>
                </c:pt>
                <c:pt idx="12">
                  <c:v>1835.5407213386361</c:v>
                </c:pt>
                <c:pt idx="13">
                  <c:v>1839.3023994952957</c:v>
                </c:pt>
                <c:pt idx="14">
                  <c:v>1896.7874659392955</c:v>
                </c:pt>
                <c:pt idx="15">
                  <c:v>1950.9713785732672</c:v>
                </c:pt>
                <c:pt idx="16">
                  <c:v>1997.9790629261042</c:v>
                </c:pt>
                <c:pt idx="17">
                  <c:v>2080.568126775901</c:v>
                </c:pt>
                <c:pt idx="18">
                  <c:v>2089.0123963032611</c:v>
                </c:pt>
                <c:pt idx="19">
                  <c:v>2233.8067192831527</c:v>
                </c:pt>
                <c:pt idx="20">
                  <c:v>2351.1126609082212</c:v>
                </c:pt>
                <c:pt idx="21">
                  <c:v>2430.0253649067026</c:v>
                </c:pt>
                <c:pt idx="22">
                  <c:v>2522.1128216286788</c:v>
                </c:pt>
                <c:pt idx="23">
                  <c:v>2603.047002996429</c:v>
                </c:pt>
                <c:pt idx="24">
                  <c:v>2667.3653538881331</c:v>
                </c:pt>
                <c:pt idx="25">
                  <c:v>2706.5462873347424</c:v>
                </c:pt>
                <c:pt idx="26">
                  <c:v>2740.3365099004604</c:v>
                </c:pt>
                <c:pt idx="27">
                  <c:v>2794.963391429173</c:v>
                </c:pt>
              </c:numCache>
            </c:numRef>
          </c:val>
          <c:smooth val="0"/>
          <c:extLst xmlns:c16r2="http://schemas.microsoft.com/office/drawing/2015/06/chart">
            <c:ext xmlns:c16="http://schemas.microsoft.com/office/drawing/2014/chart" uri="{C3380CC4-5D6E-409C-BE32-E72D297353CC}">
              <c16:uniqueId val="{00000007-0C3A-4D6F-B862-5251B5A2CDD5}"/>
            </c:ext>
          </c:extLst>
        </c:ser>
        <c:ser>
          <c:idx val="8"/>
          <c:order val="8"/>
          <c:tx>
            <c:strRef>
              <c:f>'Real per person (Core)'!$A$14</c:f>
              <c:strCache>
                <c:ptCount val="1"/>
                <c:pt idx="0">
                  <c:v> All other </c:v>
                </c:pt>
              </c:strCache>
            </c:strRef>
          </c:tx>
          <c:spPr>
            <a:ln w="28575" cap="rnd">
              <a:solidFill>
                <a:schemeClr val="tx1"/>
              </a:solidFill>
              <a:prstDash val="sysDash"/>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(Core)'!$B$14:$AC$14</c:f>
              <c:numCache>
                <c:formatCode>_-* #,##0_-;\-* #,##0_-;_-* "-"??_-;_-@_-</c:formatCode>
                <c:ptCount val="28"/>
                <c:pt idx="0">
                  <c:v>1337.5900580484547</c:v>
                </c:pt>
                <c:pt idx="1">
                  <c:v>531.57643713165385</c:v>
                </c:pt>
                <c:pt idx="2">
                  <c:v>692.06980738365326</c:v>
                </c:pt>
                <c:pt idx="3">
                  <c:v>733.95758876926982</c:v>
                </c:pt>
                <c:pt idx="4">
                  <c:v>929.64764358873219</c:v>
                </c:pt>
                <c:pt idx="5">
                  <c:v>1209.6250872698986</c:v>
                </c:pt>
                <c:pt idx="6">
                  <c:v>1390.4599104620349</c:v>
                </c:pt>
                <c:pt idx="7">
                  <c:v>1184.0215665795115</c:v>
                </c:pt>
                <c:pt idx="8">
                  <c:v>1345.2673557936625</c:v>
                </c:pt>
                <c:pt idx="9">
                  <c:v>1494.6373567281489</c:v>
                </c:pt>
                <c:pt idx="10">
                  <c:v>1321.0984980634626</c:v>
                </c:pt>
                <c:pt idx="11">
                  <c:v>1392.9998368725117</c:v>
                </c:pt>
                <c:pt idx="12">
                  <c:v>1622.5057469403002</c:v>
                </c:pt>
                <c:pt idx="13">
                  <c:v>1657.4942109577191</c:v>
                </c:pt>
                <c:pt idx="14">
                  <c:v>1740.8108167577971</c:v>
                </c:pt>
                <c:pt idx="15">
                  <c:v>2120.1015865415811</c:v>
                </c:pt>
                <c:pt idx="16">
                  <c:v>2123.1107578536817</c:v>
                </c:pt>
                <c:pt idx="17">
                  <c:v>1928.9802922074277</c:v>
                </c:pt>
                <c:pt idx="18">
                  <c:v>2181.7522444743686</c:v>
                </c:pt>
                <c:pt idx="19">
                  <c:v>1667.8965863094993</c:v>
                </c:pt>
                <c:pt idx="20">
                  <c:v>1697.5791464691501</c:v>
                </c:pt>
                <c:pt idx="21">
                  <c:v>1682.0683227806499</c:v>
                </c:pt>
                <c:pt idx="22">
                  <c:v>1634.1184790295381</c:v>
                </c:pt>
                <c:pt idx="23">
                  <c:v>1633.5090754925011</c:v>
                </c:pt>
                <c:pt idx="24">
                  <c:v>1789.6949997875638</c:v>
                </c:pt>
                <c:pt idx="25">
                  <c:v>1771.104022126882</c:v>
                </c:pt>
                <c:pt idx="26">
                  <c:v>1724.9022107662117</c:v>
                </c:pt>
                <c:pt idx="27">
                  <c:v>1692.9397751435636</c:v>
                </c:pt>
              </c:numCache>
            </c:numRef>
          </c:val>
          <c:smooth val="0"/>
          <c:extLst xmlns:c16r2="http://schemas.microsoft.com/office/drawing/2015/06/chart">
            <c:ext xmlns:c16="http://schemas.microsoft.com/office/drawing/2014/chart" uri="{C3380CC4-5D6E-409C-BE32-E72D297353CC}">
              <c16:uniqueId val="{00000008-0C3A-4D6F-B862-5251B5A2CDD5}"/>
            </c:ext>
          </c:extLst>
        </c:ser>
        <c:dLbls>
          <c:showLegendKey val="0"/>
          <c:showVal val="0"/>
          <c:showCatName val="0"/>
          <c:showSerName val="0"/>
          <c:showPercent val="0"/>
          <c:showBubbleSize val="0"/>
        </c:dLbls>
        <c:smooth val="0"/>
        <c:axId val="250673344"/>
        <c:axId val="250673736"/>
      </c:lineChart>
      <c:dateAx>
        <c:axId val="250673344"/>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0673736"/>
        <c:crosses val="autoZero"/>
        <c:auto val="0"/>
        <c:lblOffset val="100"/>
        <c:baseTimeUnit val="years"/>
        <c:majorUnit val="4"/>
        <c:majorTimeUnit val="years"/>
      </c:dateAx>
      <c:valAx>
        <c:axId val="250673736"/>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t>
                </a:r>
                <a:r>
                  <a:rPr lang="en-US" baseline="0"/>
                  <a:t> million</a:t>
                </a:r>
                <a:endParaRPr lang="en-US"/>
              </a:p>
            </c:rich>
          </c:tx>
          <c:layout>
            <c:manualLayout>
              <c:xMode val="edge"/>
              <c:yMode val="edge"/>
              <c:x val="0"/>
              <c:y val="0.39396361913094197"/>
            </c:manualLayout>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0673344"/>
        <c:crosses val="autoZero"/>
        <c:crossBetween val="between"/>
      </c:valAx>
      <c:spPr>
        <a:noFill/>
        <a:ln>
          <a:noFill/>
        </a:ln>
        <a:effectLst/>
      </c:spPr>
    </c:plotArea>
    <c:legend>
      <c:legendPos val="b"/>
      <c:layout>
        <c:manualLayout>
          <c:xMode val="edge"/>
          <c:yMode val="edge"/>
          <c:x val="0.12502602799650042"/>
          <c:y val="9.9471420239136757E-2"/>
          <c:w val="0.87217016622922139"/>
          <c:h val="0.27089895013123361"/>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Real super cost per 65 years-old</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'Super, edu and Welfare analysis'!$A$4</c:f>
              <c:strCache>
                <c:ptCount val="1"/>
                <c:pt idx="0">
                  <c:v>Real</c:v>
                </c:pt>
              </c:strCache>
            </c:strRef>
          </c:tx>
          <c:spPr>
            <a:ln w="28575" cap="rnd">
              <a:solidFill>
                <a:schemeClr val="accent1"/>
              </a:solidFill>
              <a:round/>
            </a:ln>
            <a:effectLst/>
          </c:spPr>
          <c:marker>
            <c:symbol val="none"/>
          </c:marker>
          <c:cat>
            <c:numRef>
              <c:f>'Super, edu and Welfare analysis'!$J$2:$Y$2</c:f>
              <c:numCache>
                <c:formatCode>yyyy</c:formatCode>
                <c:ptCount val="16"/>
                <c:pt idx="0">
                  <c:v>37043</c:v>
                </c:pt>
                <c:pt idx="1">
                  <c:v>37408</c:v>
                </c:pt>
                <c:pt idx="2">
                  <c:v>37773</c:v>
                </c:pt>
                <c:pt idx="3">
                  <c:v>38139</c:v>
                </c:pt>
                <c:pt idx="4">
                  <c:v>38504</c:v>
                </c:pt>
                <c:pt idx="5">
                  <c:v>38869</c:v>
                </c:pt>
                <c:pt idx="6">
                  <c:v>39234</c:v>
                </c:pt>
                <c:pt idx="7">
                  <c:v>39600</c:v>
                </c:pt>
                <c:pt idx="8">
                  <c:v>39965</c:v>
                </c:pt>
                <c:pt idx="9">
                  <c:v>40330</c:v>
                </c:pt>
                <c:pt idx="10">
                  <c:v>40695</c:v>
                </c:pt>
                <c:pt idx="11">
                  <c:v>41061</c:v>
                </c:pt>
                <c:pt idx="12">
                  <c:v>41426</c:v>
                </c:pt>
                <c:pt idx="13">
                  <c:v>41791</c:v>
                </c:pt>
                <c:pt idx="14">
                  <c:v>42156</c:v>
                </c:pt>
                <c:pt idx="15">
                  <c:v>42522</c:v>
                </c:pt>
              </c:numCache>
            </c:numRef>
          </c:cat>
          <c:val>
            <c:numRef>
              <c:f>'Super, edu and Welfare analysis'!$J$4:$Y$4</c:f>
              <c:numCache>
                <c:formatCode>General</c:formatCode>
                <c:ptCount val="16"/>
                <c:pt idx="0">
                  <c:v>15681.62919718048</c:v>
                </c:pt>
                <c:pt idx="1">
                  <c:v>15540.798883165393</c:v>
                </c:pt>
                <c:pt idx="2">
                  <c:v>15580.568648902303</c:v>
                </c:pt>
                <c:pt idx="3">
                  <c:v>15594.7187626409</c:v>
                </c:pt>
                <c:pt idx="4">
                  <c:v>15285.942360881927</c:v>
                </c:pt>
                <c:pt idx="5">
                  <c:v>15044.566067240032</c:v>
                </c:pt>
                <c:pt idx="6">
                  <c:v>15251.788893741392</c:v>
                </c:pt>
                <c:pt idx="7">
                  <c:v>15533.925850238269</c:v>
                </c:pt>
                <c:pt idx="8">
                  <c:v>15678.432858572362</c:v>
                </c:pt>
                <c:pt idx="9">
                  <c:v>16063.647439432314</c:v>
                </c:pt>
                <c:pt idx="10">
                  <c:v>15787.22233239374</c:v>
                </c:pt>
                <c:pt idx="11">
                  <c:v>16329.312342397601</c:v>
                </c:pt>
                <c:pt idx="12">
                  <c:v>16683.51046488883</c:v>
                </c:pt>
                <c:pt idx="13">
                  <c:v>16849.109913693279</c:v>
                </c:pt>
                <c:pt idx="14">
                  <c:v>17189.678184784221</c:v>
                </c:pt>
                <c:pt idx="15">
                  <c:v>17491.551525003208</c:v>
                </c:pt>
              </c:numCache>
            </c:numRef>
          </c:val>
          <c:smooth val="0"/>
          <c:extLst xmlns:c16r2="http://schemas.microsoft.com/office/drawing/2015/06/chart">
            <c:ext xmlns:c16="http://schemas.microsoft.com/office/drawing/2014/chart" uri="{C3380CC4-5D6E-409C-BE32-E72D297353CC}">
              <c16:uniqueId val="{00000000-43AF-4D23-BDDD-D646BE135844}"/>
            </c:ext>
          </c:extLst>
        </c:ser>
        <c:dLbls>
          <c:showLegendKey val="0"/>
          <c:showVal val="0"/>
          <c:showCatName val="0"/>
          <c:showSerName val="0"/>
          <c:showPercent val="0"/>
          <c:showBubbleSize val="0"/>
        </c:dLbls>
        <c:smooth val="0"/>
        <c:axId val="191599344"/>
        <c:axId val="191598952"/>
      </c:lineChart>
      <c:dateAx>
        <c:axId val="191599344"/>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598952"/>
        <c:crosses val="autoZero"/>
        <c:auto val="1"/>
        <c:lblOffset val="100"/>
        <c:baseTimeUnit val="years"/>
        <c:majorUnit val="3"/>
        <c:majorTimeUnit val="years"/>
      </c:dateAx>
      <c:valAx>
        <c:axId val="191598952"/>
        <c:scaling>
          <c:orientation val="minMax"/>
          <c:min val="10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599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Welfare and super payments</a:t>
            </a:r>
          </a:p>
        </c:rich>
      </c:tx>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866141732283469E-2"/>
          <c:y val="0.17050962379702536"/>
          <c:w val="0.87657830271216097"/>
          <c:h val="0.57483887430737823"/>
        </c:manualLayout>
      </c:layout>
      <c:barChart>
        <c:barDir val="col"/>
        <c:grouping val="clustered"/>
        <c:varyColors val="0"/>
        <c:ser>
          <c:idx val="0"/>
          <c:order val="0"/>
          <c:tx>
            <c:strRef>
              <c:f>'Super, edu and Welfare analysis'!$G$18</c:f>
              <c:strCache>
                <c:ptCount val="1"/>
                <c:pt idx="0">
                  <c:v>Jobseeker Support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'Super, edu and Welfare analysis'!$H$17:$J$17</c:f>
              <c:numCache>
                <c:formatCode>General</c:formatCode>
                <c:ptCount val="3"/>
                <c:pt idx="0">
                  <c:v>2014</c:v>
                </c:pt>
                <c:pt idx="1">
                  <c:v>2015</c:v>
                </c:pt>
                <c:pt idx="2">
                  <c:v>2016</c:v>
                </c:pt>
              </c:numCache>
            </c:numRef>
          </c:cat>
          <c:val>
            <c:numRef>
              <c:f>'Super, edu and Welfare analysis'!$H$18:$J$18</c:f>
              <c:numCache>
                <c:formatCode>0</c:formatCode>
                <c:ptCount val="3"/>
                <c:pt idx="0">
                  <c:v>259.55560622928266</c:v>
                </c:pt>
                <c:pt idx="1">
                  <c:v>267.61072043662813</c:v>
                </c:pt>
                <c:pt idx="2">
                  <c:v>267.65903835191506</c:v>
                </c:pt>
              </c:numCache>
            </c:numRef>
          </c:val>
          <c:extLst xmlns:c16r2="http://schemas.microsoft.com/office/drawing/2015/06/chart">
            <c:ext xmlns:c16="http://schemas.microsoft.com/office/drawing/2014/chart" uri="{C3380CC4-5D6E-409C-BE32-E72D297353CC}">
              <c16:uniqueId val="{00000000-AB6F-49A6-AA9C-B33E2364C1BA}"/>
            </c:ext>
          </c:extLst>
        </c:ser>
        <c:ser>
          <c:idx val="1"/>
          <c:order val="1"/>
          <c:tx>
            <c:strRef>
              <c:f>'Super, edu and Welfare analysis'!$G$19</c:f>
              <c:strCache>
                <c:ptCount val="1"/>
                <c:pt idx="0">
                  <c:v>Sole Parent Support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'Super, edu and Welfare analysis'!$H$17:$J$17</c:f>
              <c:numCache>
                <c:formatCode>General</c:formatCode>
                <c:ptCount val="3"/>
                <c:pt idx="0">
                  <c:v>2014</c:v>
                </c:pt>
                <c:pt idx="1">
                  <c:v>2015</c:v>
                </c:pt>
                <c:pt idx="2">
                  <c:v>2016</c:v>
                </c:pt>
              </c:numCache>
            </c:numRef>
          </c:cat>
          <c:val>
            <c:numRef>
              <c:f>'Super, edu and Welfare analysis'!$H$19:$J$19</c:f>
              <c:numCache>
                <c:formatCode>0</c:formatCode>
                <c:ptCount val="3"/>
                <c:pt idx="0">
                  <c:v>275.49818143178402</c:v>
                </c:pt>
                <c:pt idx="1">
                  <c:v>295.95608233585421</c:v>
                </c:pt>
                <c:pt idx="2">
                  <c:v>310.63596584374903</c:v>
                </c:pt>
              </c:numCache>
            </c:numRef>
          </c:val>
          <c:extLst xmlns:c16r2="http://schemas.microsoft.com/office/drawing/2015/06/chart">
            <c:ext xmlns:c16="http://schemas.microsoft.com/office/drawing/2014/chart" uri="{C3380CC4-5D6E-409C-BE32-E72D297353CC}">
              <c16:uniqueId val="{00000001-AB6F-49A6-AA9C-B33E2364C1BA}"/>
            </c:ext>
          </c:extLst>
        </c:ser>
        <c:ser>
          <c:idx val="2"/>
          <c:order val="2"/>
          <c:tx>
            <c:strRef>
              <c:f>'Super, edu and Welfare analysis'!$G$20</c:f>
              <c:strCache>
                <c:ptCount val="1"/>
                <c:pt idx="0">
                  <c:v>Supported Living Payment</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'Super, edu and Welfare analysis'!$H$17:$J$17</c:f>
              <c:numCache>
                <c:formatCode>General</c:formatCode>
                <c:ptCount val="3"/>
                <c:pt idx="0">
                  <c:v>2014</c:v>
                </c:pt>
                <c:pt idx="1">
                  <c:v>2015</c:v>
                </c:pt>
                <c:pt idx="2">
                  <c:v>2016</c:v>
                </c:pt>
              </c:numCache>
            </c:numRef>
          </c:cat>
          <c:val>
            <c:numRef>
              <c:f>'Super, edu and Welfare analysis'!$H$20:$J$20</c:f>
              <c:numCache>
                <c:formatCode>0</c:formatCode>
                <c:ptCount val="3"/>
                <c:pt idx="0">
                  <c:v>297.94914180382665</c:v>
                </c:pt>
                <c:pt idx="1">
                  <c:v>313.30120652286877</c:v>
                </c:pt>
                <c:pt idx="2">
                  <c:v>311.33987999026203</c:v>
                </c:pt>
              </c:numCache>
            </c:numRef>
          </c:val>
          <c:extLst xmlns:c16r2="http://schemas.microsoft.com/office/drawing/2015/06/chart">
            <c:ext xmlns:c16="http://schemas.microsoft.com/office/drawing/2014/chart" uri="{C3380CC4-5D6E-409C-BE32-E72D297353CC}">
              <c16:uniqueId val="{00000002-AB6F-49A6-AA9C-B33E2364C1BA}"/>
            </c:ext>
          </c:extLst>
        </c:ser>
        <c:ser>
          <c:idx val="3"/>
          <c:order val="3"/>
          <c:tx>
            <c:strRef>
              <c:f>'Super, edu and Welfare analysis'!$G$21</c:f>
              <c:strCache>
                <c:ptCount val="1"/>
                <c:pt idx="0">
                  <c:v>NZ Super</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'Super, edu and Welfare analysis'!$H$17:$J$17</c:f>
              <c:numCache>
                <c:formatCode>General</c:formatCode>
                <c:ptCount val="3"/>
                <c:pt idx="0">
                  <c:v>2014</c:v>
                </c:pt>
                <c:pt idx="1">
                  <c:v>2015</c:v>
                </c:pt>
                <c:pt idx="2">
                  <c:v>2016</c:v>
                </c:pt>
              </c:numCache>
            </c:numRef>
          </c:cat>
          <c:val>
            <c:numRef>
              <c:f>'Super, edu and Welfare analysis'!$H$21:$J$21</c:f>
              <c:numCache>
                <c:formatCode>0</c:formatCode>
                <c:ptCount val="3"/>
                <c:pt idx="0">
                  <c:v>321.78696023912926</c:v>
                </c:pt>
                <c:pt idx="1">
                  <c:v>329.6647901206918</c:v>
                </c:pt>
                <c:pt idx="2">
                  <c:v>336.85186266377059</c:v>
                </c:pt>
              </c:numCache>
            </c:numRef>
          </c:val>
          <c:extLst xmlns:c16r2="http://schemas.microsoft.com/office/drawing/2015/06/chart">
            <c:ext xmlns:c16="http://schemas.microsoft.com/office/drawing/2014/chart" uri="{C3380CC4-5D6E-409C-BE32-E72D297353CC}">
              <c16:uniqueId val="{00000003-AB6F-49A6-AA9C-B33E2364C1BA}"/>
            </c:ext>
          </c:extLst>
        </c:ser>
        <c:dLbls>
          <c:showLegendKey val="0"/>
          <c:showVal val="0"/>
          <c:showCatName val="0"/>
          <c:showSerName val="0"/>
          <c:showPercent val="0"/>
          <c:showBubbleSize val="0"/>
        </c:dLbls>
        <c:gapWidth val="219"/>
        <c:overlap val="-27"/>
        <c:axId val="191597776"/>
        <c:axId val="113572144"/>
      </c:barChart>
      <c:catAx>
        <c:axId val="191597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3572144"/>
        <c:crosses val="autoZero"/>
        <c:auto val="1"/>
        <c:lblAlgn val="ctr"/>
        <c:lblOffset val="100"/>
        <c:noMultiLvlLbl val="0"/>
      </c:catAx>
      <c:valAx>
        <c:axId val="11357214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91597776"/>
        <c:crosses val="autoZero"/>
        <c:crossBetween val="between"/>
      </c:valAx>
      <c:spPr>
        <a:noFill/>
        <a:ln>
          <a:noFill/>
        </a:ln>
        <a:effectLst/>
      </c:spPr>
    </c:plotArea>
    <c:legend>
      <c:legendPos val="b"/>
      <c:layout>
        <c:manualLayout>
          <c:xMode val="edge"/>
          <c:yMode val="edge"/>
          <c:x val="0"/>
          <c:y val="0.8560586176727909"/>
          <c:w val="1"/>
          <c:h val="0.1161636045494313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Education spending per student</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'Super, edu and Welfare analysis'!$B$41:$S$41</c:f>
              <c:numCache>
                <c:formatCode>yyyy</c:formatCode>
                <c:ptCount val="18"/>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pt idx="17">
                  <c:v>42522</c:v>
                </c:pt>
              </c:numCache>
            </c:numRef>
          </c:cat>
          <c:val>
            <c:numRef>
              <c:f>'Super, edu and Welfare analysis'!$B$43:$S$43</c:f>
              <c:numCache>
                <c:formatCode>General</c:formatCode>
                <c:ptCount val="18"/>
                <c:pt idx="0">
                  <c:v>8859.5929222625582</c:v>
                </c:pt>
                <c:pt idx="1">
                  <c:v>9177.2556194870849</c:v>
                </c:pt>
                <c:pt idx="2">
                  <c:v>8508.1125270360626</c:v>
                </c:pt>
                <c:pt idx="3">
                  <c:v>8336.1233074482025</c:v>
                </c:pt>
                <c:pt idx="4">
                  <c:v>8467.6884254115521</c:v>
                </c:pt>
                <c:pt idx="5">
                  <c:v>8746.4795332141657</c:v>
                </c:pt>
                <c:pt idx="6">
                  <c:v>8795.3493076582199</c:v>
                </c:pt>
                <c:pt idx="7">
                  <c:v>10674.054979888797</c:v>
                </c:pt>
                <c:pt idx="8">
                  <c:v>9814.7927743472319</c:v>
                </c:pt>
                <c:pt idx="9">
                  <c:v>9917.938911830659</c:v>
                </c:pt>
                <c:pt idx="10">
                  <c:v>11603.209496705478</c:v>
                </c:pt>
                <c:pt idx="11">
                  <c:v>11667.598633744501</c:v>
                </c:pt>
                <c:pt idx="12">
                  <c:v>11395.591148491692</c:v>
                </c:pt>
                <c:pt idx="13">
                  <c:v>11364.750728713198</c:v>
                </c:pt>
                <c:pt idx="14">
                  <c:v>12190.077705701031</c:v>
                </c:pt>
                <c:pt idx="15">
                  <c:v>11794.571927039353</c:v>
                </c:pt>
                <c:pt idx="16">
                  <c:v>12211.159477041143</c:v>
                </c:pt>
                <c:pt idx="17">
                  <c:v>12423.925575952157</c:v>
                </c:pt>
              </c:numCache>
            </c:numRef>
          </c:val>
          <c:smooth val="0"/>
          <c:extLst xmlns:c16r2="http://schemas.microsoft.com/office/drawing/2015/06/chart">
            <c:ext xmlns:c16="http://schemas.microsoft.com/office/drawing/2014/chart" uri="{C3380CC4-5D6E-409C-BE32-E72D297353CC}">
              <c16:uniqueId val="{00000000-BE58-4D85-81F0-27E587CE6132}"/>
            </c:ext>
          </c:extLst>
        </c:ser>
        <c:dLbls>
          <c:showLegendKey val="0"/>
          <c:showVal val="0"/>
          <c:showCatName val="0"/>
          <c:showSerName val="0"/>
          <c:showPercent val="0"/>
          <c:showBubbleSize val="0"/>
        </c:dLbls>
        <c:smooth val="0"/>
        <c:axId val="251340984"/>
        <c:axId val="251341376"/>
      </c:lineChart>
      <c:dateAx>
        <c:axId val="251340984"/>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341376"/>
        <c:crosses val="autoZero"/>
        <c:auto val="1"/>
        <c:lblOffset val="100"/>
        <c:baseTimeUnit val="years"/>
      </c:dateAx>
      <c:valAx>
        <c:axId val="251341376"/>
        <c:scaling>
          <c:orientation val="minMax"/>
          <c:min val="6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3409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Annual per capita spending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94028871391076"/>
          <c:y val="0.25879666083406239"/>
          <c:w val="0.82186395450568683"/>
          <c:h val="0.57142242636337137"/>
        </c:manualLayout>
      </c:layout>
      <c:lineChart>
        <c:grouping val="standard"/>
        <c:varyColors val="0"/>
        <c:ser>
          <c:idx val="0"/>
          <c:order val="0"/>
          <c:tx>
            <c:strRef>
              <c:f>'Nominal per person (Total)'!$A$6</c:f>
              <c:strCache>
                <c:ptCount val="1"/>
                <c:pt idx="0">
                  <c:v> Tax revenue </c:v>
                </c:pt>
              </c:strCache>
            </c:strRef>
          </c:tx>
          <c:spPr>
            <a:ln w="28575" cap="rnd">
              <a:solidFill>
                <a:schemeClr val="accent1"/>
              </a:solidFill>
              <a:prstDash val="sysDash"/>
              <a:round/>
            </a:ln>
            <a:effectLst/>
          </c:spPr>
          <c:marker>
            <c:symbol val="none"/>
          </c:marker>
          <c:cat>
            <c:numRef>
              <c:f>'Nominal per person (Total)'!$B$2:$R$2</c:f>
              <c:numCache>
                <c:formatCode>yyyy</c:formatCode>
                <c:ptCount val="17"/>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numCache>
            </c:numRef>
          </c:cat>
          <c:val>
            <c:numRef>
              <c:f>'Nominal per person (Total)'!$B$6:$R$6</c:f>
              <c:numCache>
                <c:formatCode>_-* #,##0_-;\-* #,##0_-;_-* "-"??_-;_-@_-</c:formatCode>
                <c:ptCount val="17"/>
                <c:pt idx="0">
                  <c:v>8384.6575056712991</c:v>
                </c:pt>
                <c:pt idx="1">
                  <c:v>8822.6145112372651</c:v>
                </c:pt>
                <c:pt idx="2">
                  <c:v>9466.8212859167634</c:v>
                </c:pt>
                <c:pt idx="3">
                  <c:v>9171.837406610106</c:v>
                </c:pt>
                <c:pt idx="4">
                  <c:v>9879.0723083035355</c:v>
                </c:pt>
                <c:pt idx="5">
                  <c:v>10405.382262996942</c:v>
                </c:pt>
                <c:pt idx="6">
                  <c:v>11278.453760371562</c:v>
                </c:pt>
                <c:pt idx="7">
                  <c:v>12500.746780479994</c:v>
                </c:pt>
                <c:pt idx="8">
                  <c:v>12533.085850383299</c:v>
                </c:pt>
                <c:pt idx="9">
                  <c:v>13233.640471858676</c:v>
                </c:pt>
                <c:pt idx="10">
                  <c:v>12584.280630968789</c:v>
                </c:pt>
                <c:pt idx="11">
                  <c:v>11572.240597425223</c:v>
                </c:pt>
                <c:pt idx="12">
                  <c:v>11662.488566299495</c:v>
                </c:pt>
                <c:pt idx="13">
                  <c:v>12401.372057042001</c:v>
                </c:pt>
                <c:pt idx="14">
                  <c:v>13087.053420679409</c:v>
                </c:pt>
                <c:pt idx="15">
                  <c:v>13499.597533311602</c:v>
                </c:pt>
                <c:pt idx="16">
                  <c:v>14373.062068215198</c:v>
                </c:pt>
              </c:numCache>
            </c:numRef>
          </c:val>
          <c:smooth val="0"/>
          <c:extLst xmlns:c16r2="http://schemas.microsoft.com/office/drawing/2015/06/chart">
            <c:ext xmlns:c16="http://schemas.microsoft.com/office/drawing/2014/chart" uri="{C3380CC4-5D6E-409C-BE32-E72D297353CC}">
              <c16:uniqueId val="{00000000-7E0B-4249-B616-AF95C1453FD2}"/>
            </c:ext>
          </c:extLst>
        </c:ser>
        <c:ser>
          <c:idx val="1"/>
          <c:order val="1"/>
          <c:tx>
            <c:strRef>
              <c:f>'Nominal per person (Total)'!$A$7</c:f>
              <c:strCache>
                <c:ptCount val="1"/>
                <c:pt idx="0">
                  <c:v> Other revenue </c:v>
                </c:pt>
              </c:strCache>
            </c:strRef>
          </c:tx>
          <c:spPr>
            <a:ln w="28575" cap="rnd">
              <a:solidFill>
                <a:schemeClr val="accent2"/>
              </a:solidFill>
              <a:round/>
            </a:ln>
            <a:effectLst/>
          </c:spPr>
          <c:marker>
            <c:symbol val="none"/>
          </c:marker>
          <c:cat>
            <c:numRef>
              <c:f>'Nominal per person (Total)'!$B$2:$R$2</c:f>
              <c:numCache>
                <c:formatCode>yyyy</c:formatCode>
                <c:ptCount val="17"/>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numCache>
            </c:numRef>
          </c:cat>
          <c:val>
            <c:numRef>
              <c:f>'Nominal per person (Total)'!$B$7:$R$7</c:f>
              <c:numCache>
                <c:formatCode>_-* #,##0_-;\-* #,##0_-;_-* "-"??_-;_-@_-</c:formatCode>
                <c:ptCount val="17"/>
                <c:pt idx="0">
                  <c:v>2036.3410155071385</c:v>
                </c:pt>
                <c:pt idx="1">
                  <c:v>1964.0009113693325</c:v>
                </c:pt>
                <c:pt idx="2">
                  <c:v>2155.5337900220206</c:v>
                </c:pt>
                <c:pt idx="3">
                  <c:v>3477.9437113741683</c:v>
                </c:pt>
                <c:pt idx="4">
                  <c:v>4177.9684909532471</c:v>
                </c:pt>
                <c:pt idx="5">
                  <c:v>4095.1395001264632</c:v>
                </c:pt>
                <c:pt idx="6">
                  <c:v>4476.8862333389779</c:v>
                </c:pt>
                <c:pt idx="7">
                  <c:v>4511.2710084284636</c:v>
                </c:pt>
                <c:pt idx="8">
                  <c:v>5069.0600540737623</c:v>
                </c:pt>
                <c:pt idx="9">
                  <c:v>5836.7275074828331</c:v>
                </c:pt>
                <c:pt idx="10">
                  <c:v>5826.7229738366887</c:v>
                </c:pt>
                <c:pt idx="11">
                  <c:v>5497.7739060880276</c:v>
                </c:pt>
                <c:pt idx="12">
                  <c:v>6862.2732363588257</c:v>
                </c:pt>
                <c:pt idx="13">
                  <c:v>6506.6084691854321</c:v>
                </c:pt>
                <c:pt idx="14">
                  <c:v>6343.1710227144822</c:v>
                </c:pt>
                <c:pt idx="15">
                  <c:v>6279.8108073947433</c:v>
                </c:pt>
                <c:pt idx="16">
                  <c:v>6301.0390034270795</c:v>
                </c:pt>
              </c:numCache>
            </c:numRef>
          </c:val>
          <c:smooth val="0"/>
          <c:extLst xmlns:c16r2="http://schemas.microsoft.com/office/drawing/2015/06/chart">
            <c:ext xmlns:c16="http://schemas.microsoft.com/office/drawing/2014/chart" uri="{C3380CC4-5D6E-409C-BE32-E72D297353CC}">
              <c16:uniqueId val="{00000001-7E0B-4249-B616-AF95C1453FD2}"/>
            </c:ext>
          </c:extLst>
        </c:ser>
        <c:ser>
          <c:idx val="3"/>
          <c:order val="2"/>
          <c:tx>
            <c:strRef>
              <c:f>'Nominal per person (Total)'!$A$9</c:f>
              <c:strCache>
                <c:ptCount val="1"/>
                <c:pt idx="0">
                  <c:v> Expenses </c:v>
                </c:pt>
              </c:strCache>
            </c:strRef>
          </c:tx>
          <c:spPr>
            <a:ln w="28575" cap="rnd">
              <a:solidFill>
                <a:srgbClr val="FF0000"/>
              </a:solidFill>
              <a:prstDash val="sysDash"/>
              <a:round/>
            </a:ln>
            <a:effectLst/>
          </c:spPr>
          <c:marker>
            <c:symbol val="none"/>
          </c:marker>
          <c:cat>
            <c:numRef>
              <c:f>'Nominal per person (Total)'!$B$2:$R$2</c:f>
              <c:numCache>
                <c:formatCode>yyyy</c:formatCode>
                <c:ptCount val="17"/>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numCache>
            </c:numRef>
          </c:cat>
          <c:val>
            <c:numRef>
              <c:f>'Nominal per person (Total)'!$B$9:$R$9</c:f>
              <c:numCache>
                <c:formatCode>_-* #,##0_-;\-* #,##0_-;_-* "-"??_-;_-@_-</c:formatCode>
                <c:ptCount val="17"/>
                <c:pt idx="0">
                  <c:v>10387.622598777458</c:v>
                </c:pt>
                <c:pt idx="1">
                  <c:v>10632.746537001185</c:v>
                </c:pt>
                <c:pt idx="2">
                  <c:v>11256.02857162233</c:v>
                </c:pt>
                <c:pt idx="3">
                  <c:v>12023.919337561327</c:v>
                </c:pt>
                <c:pt idx="4">
                  <c:v>12972.936957878155</c:v>
                </c:pt>
                <c:pt idx="5">
                  <c:v>13137.067903796187</c:v>
                </c:pt>
                <c:pt idx="6">
                  <c:v>14044.122983139408</c:v>
                </c:pt>
                <c:pt idx="7">
                  <c:v>15317.483266143005</c:v>
                </c:pt>
                <c:pt idx="8">
                  <c:v>16214.789315933767</c:v>
                </c:pt>
                <c:pt idx="9">
                  <c:v>17747.050883267799</c:v>
                </c:pt>
                <c:pt idx="10">
                  <c:v>19315.807455509355</c:v>
                </c:pt>
                <c:pt idx="11">
                  <c:v>18521.515076988144</c:v>
                </c:pt>
                <c:pt idx="12">
                  <c:v>22720.958400718984</c:v>
                </c:pt>
                <c:pt idx="13">
                  <c:v>21004.17878484022</c:v>
                </c:pt>
                <c:pt idx="14">
                  <c:v>20409.941244006211</c:v>
                </c:pt>
                <c:pt idx="15">
                  <c:v>20365.479667116808</c:v>
                </c:pt>
                <c:pt idx="16">
                  <c:v>20512.865147146822</c:v>
                </c:pt>
              </c:numCache>
            </c:numRef>
          </c:val>
          <c:smooth val="0"/>
          <c:extLst xmlns:c16r2="http://schemas.microsoft.com/office/drawing/2015/06/chart">
            <c:ext xmlns:c16="http://schemas.microsoft.com/office/drawing/2014/chart" uri="{C3380CC4-5D6E-409C-BE32-E72D297353CC}">
              <c16:uniqueId val="{00000003-7E0B-4249-B616-AF95C1453FD2}"/>
            </c:ext>
          </c:extLst>
        </c:ser>
        <c:dLbls>
          <c:showLegendKey val="0"/>
          <c:showVal val="0"/>
          <c:showCatName val="0"/>
          <c:showSerName val="0"/>
          <c:showPercent val="0"/>
          <c:showBubbleSize val="0"/>
        </c:dLbls>
        <c:smooth val="0"/>
        <c:axId val="251342160"/>
        <c:axId val="251342552"/>
      </c:lineChart>
      <c:dateAx>
        <c:axId val="251342160"/>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342552"/>
        <c:crosses val="autoZero"/>
        <c:auto val="0"/>
        <c:lblOffset val="100"/>
        <c:baseTimeUnit val="years"/>
        <c:majorUnit val="4"/>
        <c:majorTimeUnit val="years"/>
      </c:dateAx>
      <c:valAx>
        <c:axId val="251342552"/>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342160"/>
        <c:crosses val="autoZero"/>
        <c:crossBetween val="between"/>
      </c:valAx>
      <c:spPr>
        <a:noFill/>
        <a:ln>
          <a:noFill/>
        </a:ln>
        <a:effectLst/>
      </c:spPr>
    </c:plotArea>
    <c:legend>
      <c:legendPos val="b"/>
      <c:layout>
        <c:manualLayout>
          <c:xMode val="edge"/>
          <c:yMode val="edge"/>
          <c:x val="0.11669269466316713"/>
          <c:y val="0.12724919801691456"/>
          <c:w val="0.78883683289588802"/>
          <c:h val="0.3171952464275299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Weekly revenue</a:t>
            </a:r>
            <a:r>
              <a:rPr lang="en-US" baseline="0"/>
              <a:t> and expense per capita</a:t>
            </a:r>
            <a:endParaRPr lang="en-US"/>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D3DF-4F8A-B282-474AAC93DE1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D3DF-4F8A-B282-474AAC93DE1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D3DF-4F8A-B282-474AAC93DE11}"/>
              </c:ext>
            </c:extLst>
          </c:dPt>
          <c:dLbls>
            <c:dLbl>
              <c:idx val="0"/>
              <c:layout>
                <c:manualLayout>
                  <c:x val="1.7161089238845146E-2"/>
                  <c:y val="-5.41327646544182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D3DF-4F8A-B282-474AAC93DE11}"/>
                </c:ext>
                <c:ext xmlns:c15="http://schemas.microsoft.com/office/drawing/2012/chart" uri="{CE6537A1-D6FC-4f65-9D91-7224C49458BB}"/>
              </c:extLst>
            </c:dLbl>
            <c:dLbl>
              <c:idx val="2"/>
              <c:layout>
                <c:manualLayout>
                  <c:x val="-6.9230752405949253E-2"/>
                  <c:y val="-3.1613444152814231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D3DF-4F8A-B282-474AAC93DE11}"/>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'Nominal per person (Total)'!$A$37:$A$39</c:f>
              <c:strCache>
                <c:ptCount val="3"/>
                <c:pt idx="0">
                  <c:v> Tax revenue </c:v>
                </c:pt>
                <c:pt idx="1">
                  <c:v> Other revenue </c:v>
                </c:pt>
                <c:pt idx="2">
                  <c:v> Expenses </c:v>
                </c:pt>
              </c:strCache>
            </c:strRef>
          </c:cat>
          <c:val>
            <c:numRef>
              <c:f>'Nominal per person (Total)'!$R$37:$R$39</c:f>
              <c:numCache>
                <c:formatCode>"$"#,##0.00</c:formatCode>
                <c:ptCount val="3"/>
                <c:pt idx="0">
                  <c:v>275.64753913217714</c:v>
                </c:pt>
                <c:pt idx="1">
                  <c:v>120.84174457935941</c:v>
                </c:pt>
                <c:pt idx="2">
                  <c:v>393.39709044082366</c:v>
                </c:pt>
              </c:numCache>
            </c:numRef>
          </c:val>
          <c:extLst xmlns:c16r2="http://schemas.microsoft.com/office/drawing/2015/06/chart">
            <c:ext xmlns:c16="http://schemas.microsoft.com/office/drawing/2014/chart" uri="{C3380CC4-5D6E-409C-BE32-E72D297353CC}">
              <c16:uniqueId val="{00000012-D3DF-4F8A-B282-474AAC93DE1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Nominal </a:t>
            </a:r>
            <a:r>
              <a:rPr lang="en-US" baseline="0"/>
              <a:t>per capita</a:t>
            </a:r>
            <a:endParaRPr lang="en-US"/>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63451443569554"/>
          <c:y val="0.25649825021872263"/>
          <c:w val="0.8108099300087489"/>
          <c:h val="0.61032225138524354"/>
        </c:manualLayout>
      </c:layout>
      <c:lineChart>
        <c:grouping val="standard"/>
        <c:varyColors val="0"/>
        <c:ser>
          <c:idx val="0"/>
          <c:order val="0"/>
          <c:tx>
            <c:strRef>
              <c:f>'Nominal per person (Total)'!$A$8</c:f>
              <c:strCache>
                <c:ptCount val="1"/>
                <c:pt idx="0">
                  <c:v> Total Revenue </c:v>
                </c:pt>
              </c:strCache>
            </c:strRef>
          </c:tx>
          <c:spPr>
            <a:ln w="28575" cap="rnd">
              <a:solidFill>
                <a:schemeClr val="accent1"/>
              </a:solidFill>
              <a:round/>
            </a:ln>
            <a:effectLst/>
          </c:spPr>
          <c:marker>
            <c:symbol val="none"/>
          </c:marker>
          <c:cat>
            <c:numRef>
              <c:f>'Real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(Total)'!$B$8:$R$8</c:f>
              <c:numCache>
                <c:formatCode>_-* #,##0_-;\-* #,##0_-;_-* "-"??_-;_-@_-</c:formatCode>
                <c:ptCount val="17"/>
                <c:pt idx="0">
                  <c:v>10420.998521178437</c:v>
                </c:pt>
                <c:pt idx="1">
                  <c:v>10786.615422606599</c:v>
                </c:pt>
                <c:pt idx="2">
                  <c:v>11622.355075938784</c:v>
                </c:pt>
                <c:pt idx="3">
                  <c:v>12649.781117984272</c:v>
                </c:pt>
                <c:pt idx="4">
                  <c:v>14057.040799256782</c:v>
                </c:pt>
                <c:pt idx="5">
                  <c:v>14500.521763123406</c:v>
                </c:pt>
                <c:pt idx="6">
                  <c:v>15755.339993710541</c:v>
                </c:pt>
                <c:pt idx="7">
                  <c:v>17012.017788908459</c:v>
                </c:pt>
                <c:pt idx="8">
                  <c:v>17602.145904457062</c:v>
                </c:pt>
                <c:pt idx="9">
                  <c:v>19070.36797934151</c:v>
                </c:pt>
                <c:pt idx="10">
                  <c:v>18411.003604805479</c:v>
                </c:pt>
                <c:pt idx="11">
                  <c:v>17070.014503513252</c:v>
                </c:pt>
                <c:pt idx="12">
                  <c:v>18524.761802658322</c:v>
                </c:pt>
                <c:pt idx="13">
                  <c:v>18907.980526227431</c:v>
                </c:pt>
                <c:pt idx="14">
                  <c:v>19430.22444339389</c:v>
                </c:pt>
                <c:pt idx="15">
                  <c:v>19779.408340706344</c:v>
                </c:pt>
                <c:pt idx="16">
                  <c:v>20674.101071642279</c:v>
                </c:pt>
              </c:numCache>
            </c:numRef>
          </c:val>
          <c:smooth val="0"/>
          <c:extLst xmlns:c16r2="http://schemas.microsoft.com/office/drawing/2015/06/chart">
            <c:ext xmlns:c16="http://schemas.microsoft.com/office/drawing/2014/chart" uri="{C3380CC4-5D6E-409C-BE32-E72D297353CC}">
              <c16:uniqueId val="{00000000-F1B2-4AF9-9B29-25E0C817DC4F}"/>
            </c:ext>
          </c:extLst>
        </c:ser>
        <c:ser>
          <c:idx val="1"/>
          <c:order val="1"/>
          <c:tx>
            <c:strRef>
              <c:f>'Nominal per person (Total)'!$A$9</c:f>
              <c:strCache>
                <c:ptCount val="1"/>
                <c:pt idx="0">
                  <c:v> Expenses </c:v>
                </c:pt>
              </c:strCache>
            </c:strRef>
          </c:tx>
          <c:spPr>
            <a:ln w="28575" cap="rnd">
              <a:solidFill>
                <a:schemeClr val="accent2"/>
              </a:solidFill>
              <a:round/>
            </a:ln>
            <a:effectLst/>
          </c:spPr>
          <c:marker>
            <c:symbol val="none"/>
          </c:marker>
          <c:val>
            <c:numRef>
              <c:f>'Nominal per person (Total)'!$B$9:$R$9</c:f>
              <c:numCache>
                <c:formatCode>_-* #,##0_-;\-* #,##0_-;_-* "-"??_-;_-@_-</c:formatCode>
                <c:ptCount val="17"/>
                <c:pt idx="0">
                  <c:v>10387.622598777458</c:v>
                </c:pt>
                <c:pt idx="1">
                  <c:v>10632.746537001185</c:v>
                </c:pt>
                <c:pt idx="2">
                  <c:v>11256.02857162233</c:v>
                </c:pt>
                <c:pt idx="3">
                  <c:v>12023.919337561327</c:v>
                </c:pt>
                <c:pt idx="4">
                  <c:v>12972.936957878155</c:v>
                </c:pt>
                <c:pt idx="5">
                  <c:v>13137.067903796187</c:v>
                </c:pt>
                <c:pt idx="6">
                  <c:v>14044.122983139408</c:v>
                </c:pt>
                <c:pt idx="7">
                  <c:v>15317.483266143005</c:v>
                </c:pt>
                <c:pt idx="8">
                  <c:v>16214.789315933767</c:v>
                </c:pt>
                <c:pt idx="9">
                  <c:v>17747.050883267799</c:v>
                </c:pt>
                <c:pt idx="10">
                  <c:v>19315.807455509355</c:v>
                </c:pt>
                <c:pt idx="11">
                  <c:v>18521.515076988144</c:v>
                </c:pt>
                <c:pt idx="12">
                  <c:v>22720.958400718984</c:v>
                </c:pt>
                <c:pt idx="13">
                  <c:v>21004.17878484022</c:v>
                </c:pt>
                <c:pt idx="14">
                  <c:v>20409.941244006211</c:v>
                </c:pt>
                <c:pt idx="15">
                  <c:v>20365.479667116808</c:v>
                </c:pt>
                <c:pt idx="16">
                  <c:v>20512.865147146822</c:v>
                </c:pt>
              </c:numCache>
            </c:numRef>
          </c:val>
          <c:smooth val="0"/>
          <c:extLst xmlns:c16r2="http://schemas.microsoft.com/office/drawing/2015/06/chart">
            <c:ext xmlns:c16="http://schemas.microsoft.com/office/drawing/2014/chart" uri="{C3380CC4-5D6E-409C-BE32-E72D297353CC}">
              <c16:uniqueId val="{00000001-F1B2-4AF9-9B29-25E0C817DC4F}"/>
            </c:ext>
          </c:extLst>
        </c:ser>
        <c:dLbls>
          <c:showLegendKey val="0"/>
          <c:showVal val="0"/>
          <c:showCatName val="0"/>
          <c:showSerName val="0"/>
          <c:showPercent val="0"/>
          <c:showBubbleSize val="0"/>
        </c:dLbls>
        <c:smooth val="0"/>
        <c:axId val="251344120"/>
        <c:axId val="251344512"/>
      </c:lineChart>
      <c:dateAx>
        <c:axId val="251344120"/>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344512"/>
        <c:crosses val="autoZero"/>
        <c:auto val="1"/>
        <c:lblOffset val="100"/>
        <c:baseTimeUnit val="years"/>
        <c:majorUnit val="3"/>
        <c:majorTimeUnit val="years"/>
      </c:dateAx>
      <c:valAx>
        <c:axId val="251344512"/>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344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'Nominal per person (Total)'!$A$10</c:f>
              <c:strCache>
                <c:ptCount val="1"/>
                <c:pt idx="0">
                  <c:v>OBEGAL</c:v>
                </c:pt>
              </c:strCache>
            </c:strRef>
          </c:tx>
          <c:spPr>
            <a:ln w="28575" cap="rnd">
              <a:solidFill>
                <a:schemeClr val="accent1"/>
              </a:solidFill>
              <a:round/>
            </a:ln>
            <a:effectLst/>
          </c:spPr>
          <c:marker>
            <c:symbol val="none"/>
          </c:marker>
          <c:cat>
            <c:numRef>
              <c:f>'Nominal per person (Total)'!$B$2:$R$2</c:f>
              <c:numCache>
                <c:formatCode>yyyy</c:formatCode>
                <c:ptCount val="17"/>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numCache>
            </c:numRef>
          </c:cat>
          <c:val>
            <c:numRef>
              <c:f>'Nominal per person (Total)'!$B$10:$R$10</c:f>
              <c:numCache>
                <c:formatCode>_-* #,##0_-;\-* #,##0_-;_-* "-"??_-;_-@_-</c:formatCode>
                <c:ptCount val="17"/>
                <c:pt idx="0">
                  <c:v>33.375922400979107</c:v>
                </c:pt>
                <c:pt idx="1">
                  <c:v>153.86888560541411</c:v>
                </c:pt>
                <c:pt idx="2">
                  <c:v>366.32650431645379</c:v>
                </c:pt>
                <c:pt idx="3">
                  <c:v>625.86178042294523</c:v>
                </c:pt>
                <c:pt idx="4">
                  <c:v>1084.1038413786264</c:v>
                </c:pt>
                <c:pt idx="5">
                  <c:v>1363.4538593272191</c:v>
                </c:pt>
                <c:pt idx="6">
                  <c:v>1711.2170105711321</c:v>
                </c:pt>
                <c:pt idx="7">
                  <c:v>1694.5345227654543</c:v>
                </c:pt>
                <c:pt idx="8">
                  <c:v>1387.3565885232947</c:v>
                </c:pt>
                <c:pt idx="9">
                  <c:v>1323.3170960737116</c:v>
                </c:pt>
                <c:pt idx="10">
                  <c:v>-904.80385070387638</c:v>
                </c:pt>
                <c:pt idx="11">
                  <c:v>-1451.500573474892</c:v>
                </c:pt>
                <c:pt idx="12">
                  <c:v>-4196.1965980606619</c:v>
                </c:pt>
                <c:pt idx="13">
                  <c:v>-2096.1982586127888</c:v>
                </c:pt>
                <c:pt idx="14">
                  <c:v>-979.71680061232109</c:v>
                </c:pt>
                <c:pt idx="15">
                  <c:v>-586.07132641046337</c:v>
                </c:pt>
                <c:pt idx="16">
                  <c:v>161.23592449545686</c:v>
                </c:pt>
              </c:numCache>
            </c:numRef>
          </c:val>
          <c:smooth val="0"/>
          <c:extLst xmlns:c16r2="http://schemas.microsoft.com/office/drawing/2015/06/chart">
            <c:ext xmlns:c16="http://schemas.microsoft.com/office/drawing/2014/chart" uri="{C3380CC4-5D6E-409C-BE32-E72D297353CC}">
              <c16:uniqueId val="{00000000-B39A-44DE-B3DE-8204CF015B22}"/>
            </c:ext>
          </c:extLst>
        </c:ser>
        <c:dLbls>
          <c:showLegendKey val="0"/>
          <c:showVal val="0"/>
          <c:showCatName val="0"/>
          <c:showSerName val="0"/>
          <c:showPercent val="0"/>
          <c:showBubbleSize val="0"/>
        </c:dLbls>
        <c:smooth val="0"/>
        <c:axId val="251840896"/>
        <c:axId val="251841288"/>
      </c:lineChart>
      <c:dateAx>
        <c:axId val="251840896"/>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841288"/>
        <c:crosses val="autoZero"/>
        <c:auto val="1"/>
        <c:lblOffset val="100"/>
        <c:baseTimeUnit val="years"/>
      </c:dateAx>
      <c:valAx>
        <c:axId val="25184128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840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OBEGAL in 2016 prices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'Real (total)'!$A$7</c:f>
              <c:strCache>
                <c:ptCount val="1"/>
                <c:pt idx="0">
                  <c:v>OBEGAL</c:v>
                </c:pt>
              </c:strCache>
            </c:strRef>
          </c:tx>
          <c:spPr>
            <a:ln w="28575" cap="rnd">
              <a:solidFill>
                <a:schemeClr val="accent1"/>
              </a:solidFill>
              <a:round/>
            </a:ln>
            <a:effectLst/>
          </c:spPr>
          <c:marker>
            <c:symbol val="none"/>
          </c:marker>
          <c:cat>
            <c:numRef>
              <c:f>'Real (total)'!$B$2:$R$2</c:f>
              <c:numCache>
                <c:formatCode>yyyy</c:formatCode>
                <c:ptCount val="17"/>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numCache>
            </c:numRef>
          </c:cat>
          <c:val>
            <c:numRef>
              <c:f>'Real (total)'!$B$7:$R$7</c:f>
              <c:numCache>
                <c:formatCode>General</c:formatCode>
                <c:ptCount val="17"/>
                <c:pt idx="0">
                  <c:v>184.62720009046731</c:v>
                </c:pt>
                <c:pt idx="1">
                  <c:v>839.39195246223176</c:v>
                </c:pt>
                <c:pt idx="2">
                  <c:v>1947.2126049760777</c:v>
                </c:pt>
                <c:pt idx="3">
                  <c:v>3294.344605883753</c:v>
                </c:pt>
                <c:pt idx="4">
                  <c:v>5735.3173732174773</c:v>
                </c:pt>
                <c:pt idx="5">
                  <c:v>7151.8370987831695</c:v>
                </c:pt>
                <c:pt idx="6">
                  <c:v>8824.1164241164242</c:v>
                </c:pt>
                <c:pt idx="7">
                  <c:v>8509.1999999999989</c:v>
                </c:pt>
                <c:pt idx="8">
                  <c:v>6894.1176470588234</c:v>
                </c:pt>
                <c:pt idx="9">
                  <c:v>6375.4948162111214</c:v>
                </c:pt>
                <c:pt idx="10">
                  <c:v>-4321.554116558742</c:v>
                </c:pt>
                <c:pt idx="11">
                  <c:v>-6895.3594176524111</c:v>
                </c:pt>
                <c:pt idx="12">
                  <c:v>-19079.68885047537</c:v>
                </c:pt>
                <c:pt idx="13">
                  <c:v>-9493.1506849315065</c:v>
                </c:pt>
                <c:pt idx="14">
                  <c:v>-4504.0816326530658</c:v>
                </c:pt>
                <c:pt idx="15">
                  <c:v>-2945.2719665272257</c:v>
                </c:pt>
                <c:pt idx="16">
                  <c:v>414.00000000001387</c:v>
                </c:pt>
              </c:numCache>
            </c:numRef>
          </c:val>
          <c:smooth val="0"/>
          <c:extLst xmlns:c16r2="http://schemas.microsoft.com/office/drawing/2015/06/chart">
            <c:ext xmlns:c16="http://schemas.microsoft.com/office/drawing/2014/chart" uri="{C3380CC4-5D6E-409C-BE32-E72D297353CC}">
              <c16:uniqueId val="{00000000-13DC-4B38-9503-D9AA27DE5377}"/>
            </c:ext>
          </c:extLst>
        </c:ser>
        <c:dLbls>
          <c:showLegendKey val="0"/>
          <c:showVal val="0"/>
          <c:showCatName val="0"/>
          <c:showSerName val="0"/>
          <c:showPercent val="0"/>
          <c:showBubbleSize val="0"/>
        </c:dLbls>
        <c:smooth val="0"/>
        <c:axId val="251842072"/>
        <c:axId val="251842464"/>
      </c:lineChart>
      <c:dateAx>
        <c:axId val="251842072"/>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842464"/>
        <c:crosses val="autoZero"/>
        <c:auto val="0"/>
        <c:lblOffset val="100"/>
        <c:baseTimeUnit val="years"/>
        <c:majorUnit val="3"/>
        <c:majorTimeUnit val="years"/>
      </c:dateAx>
      <c:valAx>
        <c:axId val="2518424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842072"/>
        <c:crosses val="autoZero"/>
        <c:crossBetween val="between"/>
        <c:majorUnit val="75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US"/>
              <a:t>Percentage</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059295713035871"/>
          <c:y val="0.19930555555555557"/>
          <c:w val="0.79607370953630796"/>
          <c:h val="0.41841899970836977"/>
        </c:manualLayout>
      </c:layout>
      <c:barChart>
        <c:barDir val="col"/>
        <c:grouping val="stacked"/>
        <c:varyColors val="0"/>
        <c:ser>
          <c:idx val="2"/>
          <c:order val="0"/>
          <c:tx>
            <c:strRef>
              <c:f>'Nominal per person (Core)'!$A$54</c:f>
              <c:strCache>
                <c:ptCount val="1"/>
                <c:pt idx="0">
                  <c:v> Core govt services </c:v>
                </c:pt>
              </c:strCache>
            </c:strRef>
          </c:tx>
          <c:spPr>
            <a:solidFill>
              <a:schemeClr val="bg1">
                <a:lumMod val="85000"/>
              </a:schemeClr>
            </a:solidFill>
            <a:ln>
              <a:noFill/>
            </a:ln>
            <a:effectLst/>
          </c:spPr>
          <c:invertIfNegative val="0"/>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(Core)'!$B$54:$Y$54</c:f>
              <c:numCache>
                <c:formatCode>0.0%</c:formatCode>
                <c:ptCount val="24"/>
                <c:pt idx="0">
                  <c:v>4.6581182983868395E-2</c:v>
                </c:pt>
                <c:pt idx="1">
                  <c:v>5.8132865481291547E-2</c:v>
                </c:pt>
                <c:pt idx="2">
                  <c:v>4.4078947368421051E-2</c:v>
                </c:pt>
                <c:pt idx="3">
                  <c:v>4.9302208360898457E-2</c:v>
                </c:pt>
                <c:pt idx="4">
                  <c:v>5.0587199951446005E-2</c:v>
                </c:pt>
                <c:pt idx="5">
                  <c:v>4.5657829353132041E-2</c:v>
                </c:pt>
                <c:pt idx="6">
                  <c:v>4.759246336357293E-2</c:v>
                </c:pt>
                <c:pt idx="7">
                  <c:v>4.7275441652152285E-2</c:v>
                </c:pt>
                <c:pt idx="8">
                  <c:v>4.8993160576582463E-2</c:v>
                </c:pt>
                <c:pt idx="9">
                  <c:v>4.0558335528048453E-2</c:v>
                </c:pt>
                <c:pt idx="10">
                  <c:v>5.3387472742311447E-2</c:v>
                </c:pt>
                <c:pt idx="11">
                  <c:v>4.9925982522324629E-2</c:v>
                </c:pt>
                <c:pt idx="12">
                  <c:v>5.7177859449827367E-2</c:v>
                </c:pt>
                <c:pt idx="13">
                  <c:v>5.0831305758313051E-2</c:v>
                </c:pt>
                <c:pt idx="14">
                  <c:v>8.9180230727922513E-2</c:v>
                </c:pt>
                <c:pt idx="15">
                  <c:v>5.9143463691071464E-2</c:v>
                </c:pt>
                <c:pt idx="16">
                  <c:v>8.2700540608106013E-2</c:v>
                </c:pt>
                <c:pt idx="17">
                  <c:v>4.6459312952056624E-2</c:v>
                </c:pt>
                <c:pt idx="18">
                  <c:v>7.8963804116394601E-2</c:v>
                </c:pt>
                <c:pt idx="19">
                  <c:v>7.8580114656320574E-2</c:v>
                </c:pt>
                <c:pt idx="20">
                  <c:v>6.1075868346940516E-2</c:v>
                </c:pt>
                <c:pt idx="21">
                  <c:v>6.2994109169266926E-2</c:v>
                </c:pt>
                <c:pt idx="22">
                  <c:v>5.7128643091082461E-2</c:v>
                </c:pt>
                <c:pt idx="23">
                  <c:v>5.5485668682113923E-2</c:v>
                </c:pt>
              </c:numCache>
            </c:numRef>
          </c:val>
          <c:extLst xmlns:c16r2="http://schemas.microsoft.com/office/drawing/2015/06/chart">
            <c:ext xmlns:c16="http://schemas.microsoft.com/office/drawing/2014/chart" uri="{C3380CC4-5D6E-409C-BE32-E72D297353CC}">
              <c16:uniqueId val="{00000002-AD02-47CD-9A7E-0F9D8D22DE9D}"/>
            </c:ext>
          </c:extLst>
        </c:ser>
        <c:ser>
          <c:idx val="3"/>
          <c:order val="1"/>
          <c:tx>
            <c:strRef>
              <c:f>'Nominal per person (Core)'!$A$55</c:f>
              <c:strCache>
                <c:ptCount val="1"/>
                <c:pt idx="0">
                  <c:v> Defence </c:v>
                </c:pt>
              </c:strCache>
            </c:strRef>
          </c:tx>
          <c:spPr>
            <a:solidFill>
              <a:srgbClr val="00B0F0"/>
            </a:solidFill>
            <a:ln>
              <a:noFill/>
            </a:ln>
            <a:effectLst/>
          </c:spPr>
          <c:invertIfNegative val="0"/>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(Core)'!$B$55:$Y$55</c:f>
              <c:numCache>
                <c:formatCode>0.0%</c:formatCode>
                <c:ptCount val="24"/>
                <c:pt idx="0">
                  <c:v>3.7322218333386357E-2</c:v>
                </c:pt>
                <c:pt idx="1">
                  <c:v>3.5392557103815919E-2</c:v>
                </c:pt>
                <c:pt idx="2">
                  <c:v>3.3322368421052628E-2</c:v>
                </c:pt>
                <c:pt idx="3">
                  <c:v>3.0557918281195848E-2</c:v>
                </c:pt>
                <c:pt idx="4">
                  <c:v>2.8707553181804391E-2</c:v>
                </c:pt>
                <c:pt idx="5">
                  <c:v>3.1130338195317298E-2</c:v>
                </c:pt>
                <c:pt idx="6">
                  <c:v>2.8750872295882763E-2</c:v>
                </c:pt>
                <c:pt idx="7">
                  <c:v>3.4475132011832679E-2</c:v>
                </c:pt>
                <c:pt idx="8">
                  <c:v>3.3842884002288888E-2</c:v>
                </c:pt>
                <c:pt idx="9">
                  <c:v>3.060310771661838E-2</c:v>
                </c:pt>
                <c:pt idx="10">
                  <c:v>3.0052384891094564E-2</c:v>
                </c:pt>
                <c:pt idx="11">
                  <c:v>3.1302230074972542E-2</c:v>
                </c:pt>
                <c:pt idx="12">
                  <c:v>2.8399599064483794E-2</c:v>
                </c:pt>
                <c:pt idx="13">
                  <c:v>2.8041362530413623E-2</c:v>
                </c:pt>
                <c:pt idx="14">
                  <c:v>2.809103197970483E-2</c:v>
                </c:pt>
                <c:pt idx="15">
                  <c:v>2.7404951137779181E-2</c:v>
                </c:pt>
                <c:pt idx="16">
                  <c:v>2.745226711665261E-2</c:v>
                </c:pt>
                <c:pt idx="17">
                  <c:v>2.8337993845000239E-2</c:v>
                </c:pt>
                <c:pt idx="18">
                  <c:v>2.5677785663591197E-2</c:v>
                </c:pt>
                <c:pt idx="19">
                  <c:v>2.5131738954195376E-2</c:v>
                </c:pt>
                <c:pt idx="20">
                  <c:v>2.5659260945011808E-2</c:v>
                </c:pt>
                <c:pt idx="21">
                  <c:v>2.5340366882617149E-2</c:v>
                </c:pt>
                <c:pt idx="22">
                  <c:v>2.7099484543205786E-2</c:v>
                </c:pt>
                <c:pt idx="23">
                  <c:v>2.7404672050210334E-2</c:v>
                </c:pt>
              </c:numCache>
            </c:numRef>
          </c:val>
          <c:extLst xmlns:c16r2="http://schemas.microsoft.com/office/drawing/2015/06/chart">
            <c:ext xmlns:c16="http://schemas.microsoft.com/office/drawing/2014/chart" uri="{C3380CC4-5D6E-409C-BE32-E72D297353CC}">
              <c16:uniqueId val="{00000003-AD02-47CD-9A7E-0F9D8D22DE9D}"/>
            </c:ext>
          </c:extLst>
        </c:ser>
        <c:ser>
          <c:idx val="4"/>
          <c:order val="2"/>
          <c:tx>
            <c:strRef>
              <c:f>'Nominal per person (Core)'!$A$56</c:f>
              <c:strCache>
                <c:ptCount val="1"/>
                <c:pt idx="0">
                  <c:v> Education </c:v>
                </c:pt>
              </c:strCache>
            </c:strRef>
          </c:tx>
          <c:spPr>
            <a:solidFill>
              <a:schemeClr val="tx1">
                <a:lumMod val="95000"/>
                <a:lumOff val="5000"/>
              </a:schemeClr>
            </a:solidFill>
            <a:ln>
              <a:noFill/>
            </a:ln>
            <a:effectLst/>
          </c:spPr>
          <c:invertIfNegative val="0"/>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(Core)'!$B$56:$Y$56</c:f>
              <c:numCache>
                <c:formatCode>0.0%</c:formatCode>
                <c:ptCount val="24"/>
                <c:pt idx="0">
                  <c:v>0.14442075789875591</c:v>
                </c:pt>
                <c:pt idx="1">
                  <c:v>0.15611187961807083</c:v>
                </c:pt>
                <c:pt idx="2">
                  <c:v>0.15799342105263159</c:v>
                </c:pt>
                <c:pt idx="3">
                  <c:v>0.15590838925117345</c:v>
                </c:pt>
                <c:pt idx="4">
                  <c:v>0.16189724759505966</c:v>
                </c:pt>
                <c:pt idx="5">
                  <c:v>0.16702230276811553</c:v>
                </c:pt>
                <c:pt idx="6">
                  <c:v>0.16466154919748779</c:v>
                </c:pt>
                <c:pt idx="7">
                  <c:v>0.17444914434215258</c:v>
                </c:pt>
                <c:pt idx="8">
                  <c:v>0.16719801629472192</c:v>
                </c:pt>
                <c:pt idx="9">
                  <c:v>0.17047669212536212</c:v>
                </c:pt>
                <c:pt idx="10">
                  <c:v>0.17585282101411134</c:v>
                </c:pt>
                <c:pt idx="11">
                  <c:v>0.18110405424764814</c:v>
                </c:pt>
                <c:pt idx="12">
                  <c:v>0.17663436908341684</c:v>
                </c:pt>
                <c:pt idx="13">
                  <c:v>0.20101378751013788</c:v>
                </c:pt>
                <c:pt idx="14">
                  <c:v>0.17163861266966648</c:v>
                </c:pt>
                <c:pt idx="15">
                  <c:v>0.16757022299419266</c:v>
                </c:pt>
                <c:pt idx="16">
                  <c:v>0.17897878191306524</c:v>
                </c:pt>
                <c:pt idx="17">
                  <c:v>0.18315029759580087</c:v>
                </c:pt>
                <c:pt idx="18">
                  <c:v>0.16536550745209366</c:v>
                </c:pt>
                <c:pt idx="19">
                  <c:v>0.16871272221900513</c:v>
                </c:pt>
                <c:pt idx="20">
                  <c:v>0.17785110801354079</c:v>
                </c:pt>
                <c:pt idx="21">
                  <c:v>0.17210740621545606</c:v>
                </c:pt>
                <c:pt idx="22">
                  <c:v>0.17797769578375688</c:v>
                </c:pt>
                <c:pt idx="23">
                  <c:v>0.1779815769183947</c:v>
                </c:pt>
              </c:numCache>
            </c:numRef>
          </c:val>
          <c:extLst xmlns:c16r2="http://schemas.microsoft.com/office/drawing/2015/06/chart">
            <c:ext xmlns:c16="http://schemas.microsoft.com/office/drawing/2014/chart" uri="{C3380CC4-5D6E-409C-BE32-E72D297353CC}">
              <c16:uniqueId val="{00000004-AD02-47CD-9A7E-0F9D8D22DE9D}"/>
            </c:ext>
          </c:extLst>
        </c:ser>
        <c:ser>
          <c:idx val="5"/>
          <c:order val="3"/>
          <c:tx>
            <c:strRef>
              <c:f>'Nominal per person (Core)'!$A$57</c:f>
              <c:strCache>
                <c:ptCount val="1"/>
                <c:pt idx="0">
                  <c:v> Finance costs </c:v>
                </c:pt>
              </c:strCache>
            </c:strRef>
          </c:tx>
          <c:spPr>
            <a:solidFill>
              <a:srgbClr val="FF0000"/>
            </a:solidFill>
            <a:ln>
              <a:noFill/>
            </a:ln>
            <a:effectLst/>
          </c:spPr>
          <c:invertIfNegative val="0"/>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(Core)'!$B$57:$Y$57</c:f>
              <c:numCache>
                <c:formatCode>0.0%</c:formatCode>
                <c:ptCount val="24"/>
                <c:pt idx="0">
                  <c:v>0.12603009958955105</c:v>
                </c:pt>
                <c:pt idx="1">
                  <c:v>0.12780458180100543</c:v>
                </c:pt>
                <c:pt idx="2">
                  <c:v>0.12358552631578947</c:v>
                </c:pt>
                <c:pt idx="3">
                  <c:v>0.1166556406136786</c:v>
                </c:pt>
                <c:pt idx="4">
                  <c:v>9.322368221406245E-2</c:v>
                </c:pt>
                <c:pt idx="5">
                  <c:v>8.1961942065417556E-2</c:v>
                </c:pt>
                <c:pt idx="6">
                  <c:v>7.0230286113049559E-2</c:v>
                </c:pt>
                <c:pt idx="7">
                  <c:v>6.5605042713776235E-2</c:v>
                </c:pt>
                <c:pt idx="8">
                  <c:v>6.2781002207144596E-2</c:v>
                </c:pt>
                <c:pt idx="9">
                  <c:v>5.5780879641822483E-2</c:v>
                </c:pt>
                <c:pt idx="10">
                  <c:v>5.9152317216833339E-2</c:v>
                </c:pt>
                <c:pt idx="11">
                  <c:v>5.3770116040303705E-2</c:v>
                </c:pt>
                <c:pt idx="12">
                  <c:v>5.0651520213832263E-2</c:v>
                </c:pt>
                <c:pt idx="13">
                  <c:v>4.7769667477696676E-2</c:v>
                </c:pt>
                <c:pt idx="14">
                  <c:v>4.3127233672203398E-2</c:v>
                </c:pt>
                <c:pt idx="15">
                  <c:v>4.3160166324543399E-2</c:v>
                </c:pt>
                <c:pt idx="16">
                  <c:v>3.7951939001906194E-2</c:v>
                </c:pt>
                <c:pt idx="17">
                  <c:v>3.6102041772764909E-2</c:v>
                </c:pt>
                <c:pt idx="18">
                  <c:v>4.3520227111426543E-2</c:v>
                </c:pt>
                <c:pt idx="19">
                  <c:v>5.0828073426370954E-2</c:v>
                </c:pt>
                <c:pt idx="20">
                  <c:v>5.1474980798224906E-2</c:v>
                </c:pt>
                <c:pt idx="21">
                  <c:v>5.0652748821134234E-2</c:v>
                </c:pt>
                <c:pt idx="22">
                  <c:v>5.2278097922971688E-2</c:v>
                </c:pt>
                <c:pt idx="23">
                  <c:v>4.8560104965575085E-2</c:v>
                </c:pt>
              </c:numCache>
            </c:numRef>
          </c:val>
          <c:extLst xmlns:c16r2="http://schemas.microsoft.com/office/drawing/2015/06/chart">
            <c:ext xmlns:c16="http://schemas.microsoft.com/office/drawing/2014/chart" uri="{C3380CC4-5D6E-409C-BE32-E72D297353CC}">
              <c16:uniqueId val="{00000005-AD02-47CD-9A7E-0F9D8D22DE9D}"/>
            </c:ext>
          </c:extLst>
        </c:ser>
        <c:ser>
          <c:idx val="6"/>
          <c:order val="4"/>
          <c:tx>
            <c:strRef>
              <c:f>'Nominal per person (Core)'!$A$58</c:f>
              <c:strCache>
                <c:ptCount val="1"/>
                <c:pt idx="0">
                  <c:v> Health </c:v>
                </c:pt>
              </c:strCache>
            </c:strRef>
          </c:tx>
          <c:spPr>
            <a:solidFill>
              <a:srgbClr val="92D050"/>
            </a:solidFill>
            <a:ln>
              <a:noFill/>
            </a:ln>
            <a:effectLst/>
          </c:spPr>
          <c:invertIfNegative val="0"/>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(Core)'!$B$58:$Y$58</c:f>
              <c:numCache>
                <c:formatCode>0.0%</c:formatCode>
                <c:ptCount val="24"/>
                <c:pt idx="0">
                  <c:v>0.13261637341308982</c:v>
                </c:pt>
                <c:pt idx="1">
                  <c:v>0.15526839636964812</c:v>
                </c:pt>
                <c:pt idx="2">
                  <c:v>0.16072368421052632</c:v>
                </c:pt>
                <c:pt idx="3">
                  <c:v>0.16469772863308443</c:v>
                </c:pt>
                <c:pt idx="4">
                  <c:v>0.17072800655479017</c:v>
                </c:pt>
                <c:pt idx="5">
                  <c:v>0.17541141738037475</c:v>
                </c:pt>
                <c:pt idx="6">
                  <c:v>0.18347522679692954</c:v>
                </c:pt>
                <c:pt idx="7">
                  <c:v>0.19004174615023084</c:v>
                </c:pt>
                <c:pt idx="8">
                  <c:v>0.18147633450502737</c:v>
                </c:pt>
                <c:pt idx="9">
                  <c:v>0.18519884119041349</c:v>
                </c:pt>
                <c:pt idx="10">
                  <c:v>0.18800912349299445</c:v>
                </c:pt>
                <c:pt idx="11">
                  <c:v>0.19366314884675995</c:v>
                </c:pt>
                <c:pt idx="12">
                  <c:v>0.19630248357278091</c:v>
                </c:pt>
                <c:pt idx="13">
                  <c:v>0.19357258718572584</c:v>
                </c:pt>
                <c:pt idx="14">
                  <c:v>0.19174860655889486</c:v>
                </c:pt>
                <c:pt idx="15">
                  <c:v>0.19820341421478327</c:v>
                </c:pt>
                <c:pt idx="16">
                  <c:v>0.19324396112621481</c:v>
                </c:pt>
                <c:pt idx="17">
                  <c:v>0.20508334244606566</c:v>
                </c:pt>
                <c:pt idx="18">
                  <c:v>0.1952164655784244</c:v>
                </c:pt>
                <c:pt idx="19">
                  <c:v>0.20499160345127107</c:v>
                </c:pt>
                <c:pt idx="20">
                  <c:v>0.20621284100930221</c:v>
                </c:pt>
                <c:pt idx="21">
                  <c:v>0.20845984860145239</c:v>
                </c:pt>
                <c:pt idx="22">
                  <c:v>0.20808976963365258</c:v>
                </c:pt>
                <c:pt idx="23">
                  <c:v>0.21136495827077331</c:v>
                </c:pt>
              </c:numCache>
            </c:numRef>
          </c:val>
          <c:extLst xmlns:c16r2="http://schemas.microsoft.com/office/drawing/2015/06/chart">
            <c:ext xmlns:c16="http://schemas.microsoft.com/office/drawing/2014/chart" uri="{C3380CC4-5D6E-409C-BE32-E72D297353CC}">
              <c16:uniqueId val="{00000006-AD02-47CD-9A7E-0F9D8D22DE9D}"/>
            </c:ext>
          </c:extLst>
        </c:ser>
        <c:ser>
          <c:idx val="7"/>
          <c:order val="5"/>
          <c:tx>
            <c:strRef>
              <c:f>'Nominal per person (Core)'!$A$59</c:f>
              <c:strCache>
                <c:ptCount val="1"/>
                <c:pt idx="0">
                  <c:v> Law and order </c:v>
                </c:pt>
              </c:strCache>
            </c:strRef>
          </c:tx>
          <c:spPr>
            <a:solidFill>
              <a:schemeClr val="accent2">
                <a:lumMod val="60000"/>
                <a:lumOff val="40000"/>
              </a:schemeClr>
            </a:solidFill>
            <a:ln>
              <a:noFill/>
            </a:ln>
            <a:effectLst/>
          </c:spPr>
          <c:invertIfNegative val="0"/>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(Core)'!$B$59:$Y$59</c:f>
              <c:numCache>
                <c:formatCode>0.0%</c:formatCode>
                <c:ptCount val="24"/>
                <c:pt idx="0">
                  <c:v>3.3535906328550066E-2</c:v>
                </c:pt>
                <c:pt idx="1">
                  <c:v>3.8800229427443572E-2</c:v>
                </c:pt>
                <c:pt idx="2">
                  <c:v>3.9144736842105267E-2</c:v>
                </c:pt>
                <c:pt idx="3">
                  <c:v>3.8874712535047096E-2</c:v>
                </c:pt>
                <c:pt idx="4">
                  <c:v>3.8873547173246752E-2</c:v>
                </c:pt>
                <c:pt idx="5">
                  <c:v>3.9314840256057991E-2</c:v>
                </c:pt>
                <c:pt idx="6">
                  <c:v>4.1842288904396376E-2</c:v>
                </c:pt>
                <c:pt idx="7">
                  <c:v>4.2326725830084878E-2</c:v>
                </c:pt>
                <c:pt idx="8">
                  <c:v>4.1990244965802878E-2</c:v>
                </c:pt>
                <c:pt idx="9">
                  <c:v>4.5641295759810373E-2</c:v>
                </c:pt>
                <c:pt idx="10">
                  <c:v>4.3461914429656356E-2</c:v>
                </c:pt>
                <c:pt idx="11">
                  <c:v>4.4004584308294729E-2</c:v>
                </c:pt>
                <c:pt idx="12">
                  <c:v>4.4036084196458401E-2</c:v>
                </c:pt>
                <c:pt idx="13">
                  <c:v>4.5316301703163017E-2</c:v>
                </c:pt>
                <c:pt idx="14">
                  <c:v>4.9978704886765556E-2</c:v>
                </c:pt>
                <c:pt idx="15">
                  <c:v>5.0774602172044145E-2</c:v>
                </c:pt>
                <c:pt idx="16">
                  <c:v>4.8264116746351678E-2</c:v>
                </c:pt>
                <c:pt idx="17">
                  <c:v>4.9849249371221475E-2</c:v>
                </c:pt>
                <c:pt idx="18">
                  <c:v>4.8005677785663586E-2</c:v>
                </c:pt>
                <c:pt idx="19">
                  <c:v>4.9264578145810416E-2</c:v>
                </c:pt>
                <c:pt idx="20">
                  <c:v>4.915654424942395E-2</c:v>
                </c:pt>
                <c:pt idx="21">
                  <c:v>4.898764464717982E-2</c:v>
                </c:pt>
                <c:pt idx="22">
                  <c:v>4.8574547766123577E-2</c:v>
                </c:pt>
                <c:pt idx="23">
                  <c:v>4.9344641480339249E-2</c:v>
                </c:pt>
              </c:numCache>
            </c:numRef>
          </c:val>
          <c:extLst xmlns:c16r2="http://schemas.microsoft.com/office/drawing/2015/06/chart">
            <c:ext xmlns:c16="http://schemas.microsoft.com/office/drawing/2014/chart" uri="{C3380CC4-5D6E-409C-BE32-E72D297353CC}">
              <c16:uniqueId val="{00000007-AD02-47CD-9A7E-0F9D8D22DE9D}"/>
            </c:ext>
          </c:extLst>
        </c:ser>
        <c:ser>
          <c:idx val="8"/>
          <c:order val="6"/>
          <c:tx>
            <c:strRef>
              <c:f>'Nominal per person (Core)'!$A$60</c:f>
              <c:strCache>
                <c:ptCount val="1"/>
                <c:pt idx="0">
                  <c:v> Welfare </c:v>
                </c:pt>
              </c:strCache>
            </c:strRef>
          </c:tx>
          <c:spPr>
            <a:solidFill>
              <a:srgbClr val="0070C0"/>
            </a:solidFill>
            <a:ln>
              <a:noFill/>
            </a:ln>
            <a:effectLst/>
          </c:spPr>
          <c:invertIfNegative val="0"/>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(Core)'!$B$60:$Y$60</c:f>
              <c:numCache>
                <c:formatCode>0.0%</c:formatCode>
                <c:ptCount val="24"/>
                <c:pt idx="0">
                  <c:v>0.21985906881695211</c:v>
                </c:pt>
                <c:pt idx="1">
                  <c:v>0.22015196010320573</c:v>
                </c:pt>
                <c:pt idx="2">
                  <c:v>0.22332072040611917</c:v>
                </c:pt>
                <c:pt idx="3">
                  <c:v>0.2274551379249112</c:v>
                </c:pt>
                <c:pt idx="4">
                  <c:v>0.22861300638279883</c:v>
                </c:pt>
                <c:pt idx="5">
                  <c:v>0.2163923884130835</c:v>
                </c:pt>
                <c:pt idx="6">
                  <c:v>0.21870202372644801</c:v>
                </c:pt>
                <c:pt idx="7">
                  <c:v>0.21641646622985267</c:v>
                </c:pt>
                <c:pt idx="8">
                  <c:v>0.21619117687130435</c:v>
                </c:pt>
                <c:pt idx="9">
                  <c:v>0.21161443244666839</c:v>
                </c:pt>
                <c:pt idx="10">
                  <c:v>0.20715843296488454</c:v>
                </c:pt>
                <c:pt idx="11">
                  <c:v>0.19968005348359677</c:v>
                </c:pt>
                <c:pt idx="12">
                  <c:v>0.1915358057690166</c:v>
                </c:pt>
                <c:pt idx="13">
                  <c:v>0.18621248986212494</c:v>
                </c:pt>
                <c:pt idx="14">
                  <c:v>0.18439716312056739</c:v>
                </c:pt>
                <c:pt idx="15">
                  <c:v>0.18472902082565751</c:v>
                </c:pt>
                <c:pt idx="16">
                  <c:v>0.18183806756038876</c:v>
                </c:pt>
                <c:pt idx="17">
                  <c:v>0.20144345679783796</c:v>
                </c:pt>
                <c:pt idx="18">
                  <c:v>0.18701206529453512</c:v>
                </c:pt>
                <c:pt idx="19">
                  <c:v>0.18014940066014246</c:v>
                </c:pt>
                <c:pt idx="20">
                  <c:v>0.17787955508775924</c:v>
                </c:pt>
                <c:pt idx="21">
                  <c:v>0.1730588943148586</c:v>
                </c:pt>
                <c:pt idx="22">
                  <c:v>0.16489089728176001</c:v>
                </c:pt>
                <c:pt idx="23">
                  <c:v>0.15980197216248024</c:v>
                </c:pt>
              </c:numCache>
            </c:numRef>
          </c:val>
          <c:extLst xmlns:c16r2="http://schemas.microsoft.com/office/drawing/2015/06/chart">
            <c:ext xmlns:c16="http://schemas.microsoft.com/office/drawing/2014/chart" uri="{C3380CC4-5D6E-409C-BE32-E72D297353CC}">
              <c16:uniqueId val="{00000008-AD02-47CD-9A7E-0F9D8D22DE9D}"/>
            </c:ext>
          </c:extLst>
        </c:ser>
        <c:ser>
          <c:idx val="9"/>
          <c:order val="7"/>
          <c:tx>
            <c:strRef>
              <c:f>'Nominal per person (Core)'!$A$61</c:f>
              <c:strCache>
                <c:ptCount val="1"/>
                <c:pt idx="0">
                  <c:v> NZ super </c:v>
                </c:pt>
              </c:strCache>
            </c:strRef>
          </c:tx>
          <c:spPr>
            <a:solidFill>
              <a:schemeClr val="accent1">
                <a:lumMod val="20000"/>
                <a:lumOff val="80000"/>
              </a:schemeClr>
            </a:solidFill>
            <a:ln>
              <a:noFill/>
            </a:ln>
            <a:effectLst/>
          </c:spPr>
          <c:invertIfNegative val="0"/>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(Core)'!$B$61:$Y$61</c:f>
              <c:numCache>
                <c:formatCode>0.0%</c:formatCode>
                <c:ptCount val="24"/>
                <c:pt idx="0">
                  <c:v>0.16421296656438353</c:v>
                </c:pt>
                <c:pt idx="1">
                  <c:v>0.16714180824255492</c:v>
                </c:pt>
                <c:pt idx="2">
                  <c:v>0.16233717433072295</c:v>
                </c:pt>
                <c:pt idx="3">
                  <c:v>0.15814168657182817</c:v>
                </c:pt>
                <c:pt idx="4">
                  <c:v>0.15435667771273118</c:v>
                </c:pt>
                <c:pt idx="5">
                  <c:v>0.14925024115050717</c:v>
                </c:pt>
                <c:pt idx="6">
                  <c:v>0.14154919748778785</c:v>
                </c:pt>
                <c:pt idx="7">
                  <c:v>0.14011224461585248</c:v>
                </c:pt>
                <c:pt idx="8">
                  <c:v>0.1436823891659173</c:v>
                </c:pt>
                <c:pt idx="9">
                  <c:v>0.14353436923887278</c:v>
                </c:pt>
                <c:pt idx="10">
                  <c:v>0.14141414141414141</c:v>
                </c:pt>
                <c:pt idx="11">
                  <c:v>0.14060933097750825</c:v>
                </c:pt>
                <c:pt idx="12">
                  <c:v>0.13549393028176857</c:v>
                </c:pt>
                <c:pt idx="13">
                  <c:v>0.13004866180048663</c:v>
                </c:pt>
                <c:pt idx="14">
                  <c:v>0.12610410532748181</c:v>
                </c:pt>
                <c:pt idx="15">
                  <c:v>0.12891906591574995</c:v>
                </c:pt>
                <c:pt idx="16">
                  <c:v>0.12099621886816038</c:v>
                </c:pt>
                <c:pt idx="17">
                  <c:v>0.1295049443081874</c:v>
                </c:pt>
                <c:pt idx="18">
                  <c:v>0.12533711852377571</c:v>
                </c:pt>
                <c:pt idx="19">
                  <c:v>0.13874572934159474</c:v>
                </c:pt>
                <c:pt idx="20">
                  <c:v>0.14557790231274714</c:v>
                </c:pt>
                <c:pt idx="21">
                  <c:v>0.15269984748205465</c:v>
                </c:pt>
                <c:pt idx="22">
                  <c:v>0.16017854428368089</c:v>
                </c:pt>
                <c:pt idx="23">
                  <c:v>0.16592947287262103</c:v>
                </c:pt>
              </c:numCache>
            </c:numRef>
          </c:val>
          <c:extLst xmlns:c16r2="http://schemas.microsoft.com/office/drawing/2015/06/chart">
            <c:ext xmlns:c16="http://schemas.microsoft.com/office/drawing/2014/chart" uri="{C3380CC4-5D6E-409C-BE32-E72D297353CC}">
              <c16:uniqueId val="{00000009-AD02-47CD-9A7E-0F9D8D22DE9D}"/>
            </c:ext>
          </c:extLst>
        </c:ser>
        <c:ser>
          <c:idx val="10"/>
          <c:order val="8"/>
          <c:tx>
            <c:strRef>
              <c:f>'Nominal per person (Core)'!$A$62</c:f>
              <c:strCache>
                <c:ptCount val="1"/>
                <c:pt idx="0">
                  <c:v> All other </c:v>
                </c:pt>
              </c:strCache>
            </c:strRef>
          </c:tx>
          <c:spPr>
            <a:solidFill>
              <a:schemeClr val="accent5">
                <a:lumMod val="60000"/>
              </a:schemeClr>
            </a:solidFill>
            <a:ln>
              <a:noFill/>
            </a:ln>
            <a:effectLst/>
          </c:spPr>
          <c:invertIfNegative val="0"/>
          <c:cat>
            <c:numRef>
              <c:f>'Nominal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(Core)'!$B$62:$Y$62</c:f>
              <c:numCache>
                <c:formatCode>0.0%</c:formatCode>
                <c:ptCount val="24"/>
                <c:pt idx="0">
                  <c:v>9.5421426071462659E-2</c:v>
                </c:pt>
                <c:pt idx="1">
                  <c:v>4.1195721852964003E-2</c:v>
                </c:pt>
                <c:pt idx="2">
                  <c:v>5.5493421052631581E-2</c:v>
                </c:pt>
                <c:pt idx="3">
                  <c:v>5.8406577828182586E-2</c:v>
                </c:pt>
                <c:pt idx="4">
                  <c:v>7.3013079234060627E-2</c:v>
                </c:pt>
                <c:pt idx="5">
                  <c:v>9.3858700417994212E-2</c:v>
                </c:pt>
                <c:pt idx="6">
                  <c:v>0.10319609211444522</c:v>
                </c:pt>
                <c:pt idx="7">
                  <c:v>8.9298056454065411E-2</c:v>
                </c:pt>
                <c:pt idx="8">
                  <c:v>0.10384479141121011</c:v>
                </c:pt>
                <c:pt idx="9">
                  <c:v>0.11659204635238346</c:v>
                </c:pt>
                <c:pt idx="10">
                  <c:v>0.10151139183397248</c:v>
                </c:pt>
                <c:pt idx="11">
                  <c:v>0.10594049949859127</c:v>
                </c:pt>
                <c:pt idx="12">
                  <c:v>0.11976834836841518</c:v>
                </c:pt>
                <c:pt idx="13">
                  <c:v>0.11719383617193835</c:v>
                </c:pt>
                <c:pt idx="14">
                  <c:v>0.11573431105679316</c:v>
                </c:pt>
                <c:pt idx="15">
                  <c:v>0.14009509272417847</c:v>
                </c:pt>
                <c:pt idx="16">
                  <c:v>0.1285741070591544</c:v>
                </c:pt>
                <c:pt idx="17">
                  <c:v>0.12006936091106495</c:v>
                </c:pt>
                <c:pt idx="18">
                  <c:v>0.1309013484740951</c:v>
                </c:pt>
                <c:pt idx="19">
                  <c:v>0.10359603914528924</c:v>
                </c:pt>
                <c:pt idx="20">
                  <c:v>0.10511193923704946</c:v>
                </c:pt>
                <c:pt idx="21">
                  <c:v>0.10569913386598011</c:v>
                </c:pt>
                <c:pt idx="22">
                  <c:v>0.10378231969376615</c:v>
                </c:pt>
                <c:pt idx="23">
                  <c:v>0.10412693259749219</c:v>
                </c:pt>
              </c:numCache>
            </c:numRef>
          </c:val>
          <c:extLst xmlns:c16r2="http://schemas.microsoft.com/office/drawing/2015/06/chart">
            <c:ext xmlns:c16="http://schemas.microsoft.com/office/drawing/2014/chart" uri="{C3380CC4-5D6E-409C-BE32-E72D297353CC}">
              <c16:uniqueId val="{0000000A-AD02-47CD-9A7E-0F9D8D22DE9D}"/>
            </c:ext>
          </c:extLst>
        </c:ser>
        <c:dLbls>
          <c:showLegendKey val="0"/>
          <c:showVal val="0"/>
          <c:showCatName val="0"/>
          <c:showSerName val="0"/>
          <c:showPercent val="0"/>
          <c:showBubbleSize val="0"/>
        </c:dLbls>
        <c:gapWidth val="0"/>
        <c:overlap val="100"/>
        <c:axId val="249453520"/>
        <c:axId val="249434864"/>
      </c:barChart>
      <c:dateAx>
        <c:axId val="249453520"/>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49434864"/>
        <c:crosses val="autoZero"/>
        <c:auto val="0"/>
        <c:lblOffset val="100"/>
        <c:baseTimeUnit val="years"/>
        <c:majorUnit val="4"/>
        <c:majorTimeUnit val="years"/>
      </c:dateAx>
      <c:valAx>
        <c:axId val="24943486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49453520"/>
        <c:crosses val="autoZero"/>
        <c:crossBetween val="between"/>
      </c:valAx>
      <c:spPr>
        <a:noFill/>
        <a:ln>
          <a:noFill/>
        </a:ln>
        <a:effectLst/>
      </c:spPr>
    </c:plotArea>
    <c:legend>
      <c:legendPos val="b"/>
      <c:layout>
        <c:manualLayout>
          <c:xMode val="edge"/>
          <c:yMode val="edge"/>
          <c:x val="2.9150262467191601E-2"/>
          <c:y val="0.73104221347331588"/>
          <c:w val="0.93892147856517938"/>
          <c:h val="0.2689577865266841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Real annual per capita spending</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94028871391076"/>
          <c:y val="0.25879666083406239"/>
          <c:w val="0.82186395450568683"/>
          <c:h val="0.57142242636337137"/>
        </c:manualLayout>
      </c:layout>
      <c:lineChart>
        <c:grouping val="standard"/>
        <c:varyColors val="0"/>
        <c:ser>
          <c:idx val="0"/>
          <c:order val="0"/>
          <c:tx>
            <c:strRef>
              <c:f>'Real per person (Total)'!$A$6</c:f>
              <c:strCache>
                <c:ptCount val="1"/>
                <c:pt idx="0">
                  <c:v> Tax revenue </c:v>
                </c:pt>
              </c:strCache>
            </c:strRef>
          </c:tx>
          <c:spPr>
            <a:ln w="28575" cap="rnd">
              <a:solidFill>
                <a:schemeClr val="accent1"/>
              </a:solidFill>
              <a:prstDash val="sysDash"/>
              <a:round/>
            </a:ln>
            <a:effectLst/>
          </c:spPr>
          <c:marker>
            <c:symbol val="none"/>
          </c:marker>
          <c:cat>
            <c:numRef>
              <c:f>'Real per person (Total)'!$B$2:$R$2</c:f>
              <c:numCache>
                <c:formatCode>yyyy</c:formatCode>
                <c:ptCount val="17"/>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numCache>
            </c:numRef>
          </c:cat>
          <c:val>
            <c:numRef>
              <c:f>'Real per person (Total)'!$B$6:$R$6</c:f>
              <c:numCache>
                <c:formatCode>_-* #,##0_-;\-* #,##0_-;_-* "-"??_-;_-@_-</c:formatCode>
                <c:ptCount val="17"/>
                <c:pt idx="0">
                  <c:v>12094.029992106354</c:v>
                </c:pt>
                <c:pt idx="1">
                  <c:v>12476.214866419094</c:v>
                </c:pt>
                <c:pt idx="2">
                  <c:v>12967.657198225135</c:v>
                </c:pt>
                <c:pt idx="3">
                  <c:v>12226.8560817506</c:v>
                </c:pt>
                <c:pt idx="4">
                  <c:v>12977.754011223424</c:v>
                </c:pt>
                <c:pt idx="5">
                  <c:v>13352.956741460823</c:v>
                </c:pt>
                <c:pt idx="6">
                  <c:v>14068.757289444777</c:v>
                </c:pt>
                <c:pt idx="7">
                  <c:v>15000.896136575993</c:v>
                </c:pt>
                <c:pt idx="8">
                  <c:v>14744.806882803881</c:v>
                </c:pt>
                <c:pt idx="9">
                  <c:v>14967.359628869379</c:v>
                </c:pt>
                <c:pt idx="10">
                  <c:v>13969.599220316877</c:v>
                </c:pt>
                <c:pt idx="11">
                  <c:v>12635.749514932002</c:v>
                </c:pt>
                <c:pt idx="12">
                  <c:v>12095.92591146015</c:v>
                </c:pt>
                <c:pt idx="13">
                  <c:v>12741.135675043151</c:v>
                </c:pt>
                <c:pt idx="14">
                  <c:v>13354.136143550419</c:v>
                </c:pt>
                <c:pt idx="15">
                  <c:v>13556.081204999098</c:v>
                </c:pt>
                <c:pt idx="16">
                  <c:v>14373.062068215198</c:v>
                </c:pt>
              </c:numCache>
            </c:numRef>
          </c:val>
          <c:smooth val="0"/>
          <c:extLst xmlns:c16r2="http://schemas.microsoft.com/office/drawing/2015/06/chart">
            <c:ext xmlns:c16="http://schemas.microsoft.com/office/drawing/2014/chart" uri="{C3380CC4-5D6E-409C-BE32-E72D297353CC}">
              <c16:uniqueId val="{00000000-C65C-4144-A27C-560664592533}"/>
            </c:ext>
          </c:extLst>
        </c:ser>
        <c:ser>
          <c:idx val="1"/>
          <c:order val="1"/>
          <c:tx>
            <c:strRef>
              <c:f>'Real per person (Total)'!$A$7</c:f>
              <c:strCache>
                <c:ptCount val="1"/>
                <c:pt idx="0">
                  <c:v> Other revenue </c:v>
                </c:pt>
              </c:strCache>
            </c:strRef>
          </c:tx>
          <c:spPr>
            <a:ln w="28575" cap="rnd">
              <a:solidFill>
                <a:schemeClr val="accent2"/>
              </a:solidFill>
              <a:round/>
            </a:ln>
            <a:effectLst/>
          </c:spPr>
          <c:marker>
            <c:symbol val="none"/>
          </c:marker>
          <c:cat>
            <c:numRef>
              <c:f>'Real per person (Total)'!$B$2:$R$2</c:f>
              <c:numCache>
                <c:formatCode>yyyy</c:formatCode>
                <c:ptCount val="17"/>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numCache>
            </c:numRef>
          </c:cat>
          <c:val>
            <c:numRef>
              <c:f>'Real per person (Total)'!$B$7:$R$7</c:f>
              <c:numCache>
                <c:formatCode>_-* #,##0_-;\-* #,##0_-;_-* "-"??_-;_-@_-</c:formatCode>
                <c:ptCount val="17"/>
                <c:pt idx="0">
                  <c:v>2937.2182822067334</c:v>
                </c:pt>
                <c:pt idx="1">
                  <c:v>2777.3283460222747</c:v>
                </c:pt>
                <c:pt idx="2">
                  <c:v>2952.6514152939012</c:v>
                </c:pt>
                <c:pt idx="3">
                  <c:v>4636.4011194479308</c:v>
                </c:pt>
                <c:pt idx="4">
                  <c:v>5488.435113149254</c:v>
                </c:pt>
                <c:pt idx="5">
                  <c:v>5255.1861347654785</c:v>
                </c:pt>
                <c:pt idx="6">
                  <c:v>5584.4734719405133</c:v>
                </c:pt>
                <c:pt idx="7">
                  <c:v>5413.5252101141559</c:v>
                </c:pt>
                <c:pt idx="8">
                  <c:v>5963.6000636161907</c:v>
                </c:pt>
                <c:pt idx="9">
                  <c:v>6601.3883213754953</c:v>
                </c:pt>
                <c:pt idx="10">
                  <c:v>6468.1476120296275</c:v>
                </c:pt>
                <c:pt idx="11">
                  <c:v>6003.0288328531688</c:v>
                </c:pt>
                <c:pt idx="12">
                  <c:v>7117.310184641824</c:v>
                </c:pt>
                <c:pt idx="13">
                  <c:v>6684.8717149165395</c:v>
                </c:pt>
                <c:pt idx="14">
                  <c:v>6472.6234925657982</c:v>
                </c:pt>
                <c:pt idx="15">
                  <c:v>6306.0861664214999</c:v>
                </c:pt>
                <c:pt idx="16">
                  <c:v>6301.0390034270795</c:v>
                </c:pt>
              </c:numCache>
            </c:numRef>
          </c:val>
          <c:smooth val="0"/>
          <c:extLst xmlns:c16r2="http://schemas.microsoft.com/office/drawing/2015/06/chart">
            <c:ext xmlns:c16="http://schemas.microsoft.com/office/drawing/2014/chart" uri="{C3380CC4-5D6E-409C-BE32-E72D297353CC}">
              <c16:uniqueId val="{00000001-C65C-4144-A27C-560664592533}"/>
            </c:ext>
          </c:extLst>
        </c:ser>
        <c:ser>
          <c:idx val="3"/>
          <c:order val="2"/>
          <c:tx>
            <c:strRef>
              <c:f>'Real per person (Total)'!$A$9</c:f>
              <c:strCache>
                <c:ptCount val="1"/>
                <c:pt idx="0">
                  <c:v> Expenses </c:v>
                </c:pt>
              </c:strCache>
            </c:strRef>
          </c:tx>
          <c:spPr>
            <a:ln w="28575" cap="rnd">
              <a:solidFill>
                <a:srgbClr val="FF0000"/>
              </a:solidFill>
              <a:prstDash val="sysDash"/>
              <a:round/>
            </a:ln>
            <a:effectLst/>
          </c:spPr>
          <c:marker>
            <c:symbol val="none"/>
          </c:marker>
          <c:cat>
            <c:numRef>
              <c:f>'Real per person (Total)'!$B$2:$R$2</c:f>
              <c:numCache>
                <c:formatCode>yyyy</c:formatCode>
                <c:ptCount val="17"/>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numCache>
            </c:numRef>
          </c:cat>
          <c:val>
            <c:numRef>
              <c:f>'Real per person (Total)'!$B$9:$R$9</c:f>
              <c:numCache>
                <c:formatCode>_-* #,##0_-;\-* #,##0_-;_-* "-"??_-;_-@_-</c:formatCode>
                <c:ptCount val="17"/>
                <c:pt idx="0">
                  <c:v>14983.106843818327</c:v>
                </c:pt>
                <c:pt idx="1">
                  <c:v>15035.954506097631</c:v>
                </c:pt>
                <c:pt idx="2">
                  <c:v>15418.514358918837</c:v>
                </c:pt>
                <c:pt idx="3">
                  <c:v>16028.929075104128</c:v>
                </c:pt>
                <c:pt idx="4">
                  <c:v>17042.043968130754</c:v>
                </c:pt>
                <c:pt idx="5">
                  <c:v>16858.457959092808</c:v>
                </c:pt>
                <c:pt idx="6">
                  <c:v>17518.656527824631</c:v>
                </c:pt>
                <c:pt idx="7">
                  <c:v>18380.979919371603</c:v>
                </c:pt>
                <c:pt idx="8">
                  <c:v>19076.222724627962</c:v>
                </c:pt>
                <c:pt idx="9">
                  <c:v>20072.065089464049</c:v>
                </c:pt>
                <c:pt idx="10">
                  <c:v>21442.154437198176</c:v>
                </c:pt>
                <c:pt idx="11">
                  <c:v>20223.674333381045</c:v>
                </c:pt>
                <c:pt idx="12">
                  <c:v>23565.384685274661</c:v>
                </c:pt>
                <c:pt idx="13">
                  <c:v>21579.635737849541</c:v>
                </c:pt>
                <c:pt idx="14">
                  <c:v>20826.470657149199</c:v>
                </c:pt>
                <c:pt idx="15">
                  <c:v>20450.690879113114</c:v>
                </c:pt>
                <c:pt idx="16">
                  <c:v>20512.865147146822</c:v>
                </c:pt>
              </c:numCache>
            </c:numRef>
          </c:val>
          <c:smooth val="0"/>
          <c:extLst xmlns:c16r2="http://schemas.microsoft.com/office/drawing/2015/06/chart">
            <c:ext xmlns:c16="http://schemas.microsoft.com/office/drawing/2014/chart" uri="{C3380CC4-5D6E-409C-BE32-E72D297353CC}">
              <c16:uniqueId val="{00000002-C65C-4144-A27C-560664592533}"/>
            </c:ext>
          </c:extLst>
        </c:ser>
        <c:dLbls>
          <c:showLegendKey val="0"/>
          <c:showVal val="0"/>
          <c:showCatName val="0"/>
          <c:showSerName val="0"/>
          <c:showPercent val="0"/>
          <c:showBubbleSize val="0"/>
        </c:dLbls>
        <c:smooth val="0"/>
        <c:axId val="251843248"/>
        <c:axId val="251843640"/>
      </c:lineChart>
      <c:dateAx>
        <c:axId val="251843248"/>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843640"/>
        <c:crosses val="autoZero"/>
        <c:auto val="0"/>
        <c:lblOffset val="100"/>
        <c:baseTimeUnit val="years"/>
        <c:majorUnit val="4"/>
        <c:majorTimeUnit val="years"/>
      </c:dateAx>
      <c:valAx>
        <c:axId val="25184364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1843248"/>
        <c:crosses val="autoZero"/>
        <c:crossBetween val="between"/>
      </c:valAx>
      <c:spPr>
        <a:noFill/>
        <a:ln>
          <a:noFill/>
        </a:ln>
        <a:effectLst/>
      </c:spPr>
    </c:plotArea>
    <c:legend>
      <c:legendPos val="b"/>
      <c:layout>
        <c:manualLayout>
          <c:xMode val="edge"/>
          <c:yMode val="edge"/>
          <c:x val="0.11669269466316713"/>
          <c:y val="0.12724919801691456"/>
          <c:w val="0.78883683289588802"/>
          <c:h val="0.3171952464275299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Weekly tax</a:t>
            </a:r>
            <a:r>
              <a:rPr lang="en-US" baseline="0"/>
              <a:t> bill for average person</a:t>
            </a:r>
            <a:endParaRPr lang="en-US"/>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1CCB-4858-88D7-CE3475861E36}"/>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1CCB-4858-88D7-CE3475861E36}"/>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1CCB-4858-88D7-CE3475861E36}"/>
              </c:ext>
            </c:extLst>
          </c:dPt>
          <c:dLbls>
            <c:dLbl>
              <c:idx val="0"/>
              <c:layout>
                <c:manualLayout>
                  <c:x val="1.7161089238845146E-2"/>
                  <c:y val="-5.41327646544182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1CCB-4858-88D7-CE3475861E36}"/>
                </c:ext>
                <c:ext xmlns:c15="http://schemas.microsoft.com/office/drawing/2012/chart" uri="{CE6537A1-D6FC-4f65-9D91-7224C49458BB}"/>
              </c:extLst>
            </c:dLbl>
            <c:dLbl>
              <c:idx val="2"/>
              <c:layout>
                <c:manualLayout>
                  <c:x val="-6.9230752405949253E-2"/>
                  <c:y val="-3.1613444152814231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1CCB-4858-88D7-CE3475861E3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'Real per person (Total)'!$A$37:$A$39</c:f>
              <c:strCache>
                <c:ptCount val="3"/>
                <c:pt idx="0">
                  <c:v> Tax revenue </c:v>
                </c:pt>
                <c:pt idx="1">
                  <c:v> Other revenue </c:v>
                </c:pt>
                <c:pt idx="2">
                  <c:v> Expenses </c:v>
                </c:pt>
              </c:strCache>
            </c:strRef>
          </c:cat>
          <c:val>
            <c:numRef>
              <c:f>'Real per person (Total)'!$R$37:$R$39</c:f>
              <c:numCache>
                <c:formatCode>"$"#,##0.00</c:formatCode>
                <c:ptCount val="3"/>
                <c:pt idx="0">
                  <c:v>275.64753913217714</c:v>
                </c:pt>
                <c:pt idx="1">
                  <c:v>120.84174457935941</c:v>
                </c:pt>
                <c:pt idx="2">
                  <c:v>393.39709044082366</c:v>
                </c:pt>
              </c:numCache>
            </c:numRef>
          </c:val>
          <c:extLst xmlns:c16r2="http://schemas.microsoft.com/office/drawing/2015/06/chart">
            <c:ext xmlns:c16="http://schemas.microsoft.com/office/drawing/2014/chart" uri="{C3380CC4-5D6E-409C-BE32-E72D297353CC}">
              <c16:uniqueId val="{00000006-1CCB-4858-88D7-CE3475861E3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Real </a:t>
            </a:r>
            <a:r>
              <a:rPr lang="en-US" baseline="0"/>
              <a:t>per capita</a:t>
            </a:r>
            <a:endParaRPr lang="en-US"/>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63451443569554"/>
          <c:y val="0.25649825021872263"/>
          <c:w val="0.8108099300087489"/>
          <c:h val="0.61032225138524354"/>
        </c:manualLayout>
      </c:layout>
      <c:lineChart>
        <c:grouping val="standard"/>
        <c:varyColors val="0"/>
        <c:ser>
          <c:idx val="0"/>
          <c:order val="0"/>
          <c:tx>
            <c:strRef>
              <c:f>'Real per person (Total)'!$A$8</c:f>
              <c:strCache>
                <c:ptCount val="1"/>
                <c:pt idx="0">
                  <c:v> Total Revenue </c:v>
                </c:pt>
              </c:strCache>
            </c:strRef>
          </c:tx>
          <c:spPr>
            <a:ln w="28575" cap="rnd">
              <a:solidFill>
                <a:schemeClr val="accent1"/>
              </a:solidFill>
              <a:round/>
            </a:ln>
            <a:effectLst/>
          </c:spPr>
          <c:marker>
            <c:symbol val="none"/>
          </c:marker>
          <c:cat>
            <c:numRef>
              <c:f>'Real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(Total)'!$B$8:$R$8</c:f>
              <c:numCache>
                <c:formatCode>_-* #,##0_-;\-* #,##0_-;_-* "-"??_-;_-@_-</c:formatCode>
                <c:ptCount val="17"/>
                <c:pt idx="0">
                  <c:v>15031.248274313088</c:v>
                </c:pt>
                <c:pt idx="1">
                  <c:v>15253.543212441367</c:v>
                </c:pt>
                <c:pt idx="2">
                  <c:v>15920.308613519039</c:v>
                </c:pt>
                <c:pt idx="3">
                  <c:v>16863.257201198532</c:v>
                </c:pt>
                <c:pt idx="4">
                  <c:v>18466.189124372679</c:v>
                </c:pt>
                <c:pt idx="5">
                  <c:v>18608.142876226302</c:v>
                </c:pt>
                <c:pt idx="6">
                  <c:v>19653.23076138529</c:v>
                </c:pt>
                <c:pt idx="7">
                  <c:v>20414.421346690149</c:v>
                </c:pt>
                <c:pt idx="8">
                  <c:v>20708.406946420073</c:v>
                </c:pt>
                <c:pt idx="9">
                  <c:v>21568.747950244873</c:v>
                </c:pt>
                <c:pt idx="10">
                  <c:v>20437.746832346504</c:v>
                </c:pt>
                <c:pt idx="11">
                  <c:v>18638.77834778517</c:v>
                </c:pt>
                <c:pt idx="12">
                  <c:v>19213.236096101977</c:v>
                </c:pt>
                <c:pt idx="13">
                  <c:v>19426.00738995969</c:v>
                </c:pt>
                <c:pt idx="14">
                  <c:v>19826.759636116214</c:v>
                </c:pt>
                <c:pt idx="15">
                  <c:v>19862.167371420597</c:v>
                </c:pt>
                <c:pt idx="16">
                  <c:v>20674.101071642279</c:v>
                </c:pt>
              </c:numCache>
            </c:numRef>
          </c:val>
          <c:smooth val="0"/>
          <c:extLst xmlns:c16r2="http://schemas.microsoft.com/office/drawing/2015/06/chart">
            <c:ext xmlns:c16="http://schemas.microsoft.com/office/drawing/2014/chart" uri="{C3380CC4-5D6E-409C-BE32-E72D297353CC}">
              <c16:uniqueId val="{00000000-0802-4743-BF67-CA9851843ED8}"/>
            </c:ext>
          </c:extLst>
        </c:ser>
        <c:ser>
          <c:idx val="1"/>
          <c:order val="1"/>
          <c:tx>
            <c:strRef>
              <c:f>'Real per person (Total)'!$A$9</c:f>
              <c:strCache>
                <c:ptCount val="1"/>
                <c:pt idx="0">
                  <c:v> Expenses </c:v>
                </c:pt>
              </c:strCache>
            </c:strRef>
          </c:tx>
          <c:spPr>
            <a:ln w="28575" cap="rnd">
              <a:solidFill>
                <a:schemeClr val="accent2"/>
              </a:solidFill>
              <a:round/>
            </a:ln>
            <a:effectLst/>
          </c:spPr>
          <c:marker>
            <c:symbol val="none"/>
          </c:marker>
          <c:val>
            <c:numRef>
              <c:f>'Real per person (Total)'!$B$9:$R$9</c:f>
              <c:numCache>
                <c:formatCode>_-* #,##0_-;\-* #,##0_-;_-* "-"??_-;_-@_-</c:formatCode>
                <c:ptCount val="17"/>
                <c:pt idx="0">
                  <c:v>14983.106843818327</c:v>
                </c:pt>
                <c:pt idx="1">
                  <c:v>15035.954506097631</c:v>
                </c:pt>
                <c:pt idx="2">
                  <c:v>15418.514358918837</c:v>
                </c:pt>
                <c:pt idx="3">
                  <c:v>16028.929075104128</c:v>
                </c:pt>
                <c:pt idx="4">
                  <c:v>17042.043968130754</c:v>
                </c:pt>
                <c:pt idx="5">
                  <c:v>16858.457959092808</c:v>
                </c:pt>
                <c:pt idx="6">
                  <c:v>17518.656527824631</c:v>
                </c:pt>
                <c:pt idx="7">
                  <c:v>18380.979919371603</c:v>
                </c:pt>
                <c:pt idx="8">
                  <c:v>19076.222724627962</c:v>
                </c:pt>
                <c:pt idx="9">
                  <c:v>20072.065089464049</c:v>
                </c:pt>
                <c:pt idx="10">
                  <c:v>21442.154437198176</c:v>
                </c:pt>
                <c:pt idx="11">
                  <c:v>20223.674333381045</c:v>
                </c:pt>
                <c:pt idx="12">
                  <c:v>23565.384685274661</c:v>
                </c:pt>
                <c:pt idx="13">
                  <c:v>21579.635737849541</c:v>
                </c:pt>
                <c:pt idx="14">
                  <c:v>20826.470657149199</c:v>
                </c:pt>
                <c:pt idx="15">
                  <c:v>20450.690879113114</c:v>
                </c:pt>
                <c:pt idx="16">
                  <c:v>20512.865147146822</c:v>
                </c:pt>
              </c:numCache>
            </c:numRef>
          </c:val>
          <c:smooth val="0"/>
          <c:extLst xmlns:c16r2="http://schemas.microsoft.com/office/drawing/2015/06/chart">
            <c:ext xmlns:c16="http://schemas.microsoft.com/office/drawing/2014/chart" uri="{C3380CC4-5D6E-409C-BE32-E72D297353CC}">
              <c16:uniqueId val="{00000001-0802-4743-BF67-CA9851843ED8}"/>
            </c:ext>
          </c:extLst>
        </c:ser>
        <c:dLbls>
          <c:showLegendKey val="0"/>
          <c:showVal val="0"/>
          <c:showCatName val="0"/>
          <c:showSerName val="0"/>
          <c:showPercent val="0"/>
          <c:showBubbleSize val="0"/>
        </c:dLbls>
        <c:smooth val="0"/>
        <c:axId val="252436248"/>
        <c:axId val="252436640"/>
      </c:lineChart>
      <c:dateAx>
        <c:axId val="252436248"/>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2436640"/>
        <c:crosses val="autoZero"/>
        <c:auto val="1"/>
        <c:lblOffset val="100"/>
        <c:baseTimeUnit val="years"/>
        <c:majorUnit val="3"/>
        <c:majorTimeUnit val="years"/>
      </c:dateAx>
      <c:valAx>
        <c:axId val="252436640"/>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24362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'Real per person (Total)'!$A$10</c:f>
              <c:strCache>
                <c:ptCount val="1"/>
                <c:pt idx="0">
                  <c:v>OBEGAL</c:v>
                </c:pt>
              </c:strCache>
            </c:strRef>
          </c:tx>
          <c:spPr>
            <a:ln w="28575" cap="rnd">
              <a:solidFill>
                <a:schemeClr val="accent1"/>
              </a:solidFill>
              <a:round/>
            </a:ln>
            <a:effectLst/>
          </c:spPr>
          <c:marker>
            <c:symbol val="none"/>
          </c:marker>
          <c:cat>
            <c:numRef>
              <c:f>'Real per person (Total)'!$B$2:$R$2</c:f>
              <c:numCache>
                <c:formatCode>yyyy</c:formatCode>
                <c:ptCount val="17"/>
                <c:pt idx="0">
                  <c:v>36312</c:v>
                </c:pt>
                <c:pt idx="1">
                  <c:v>36678</c:v>
                </c:pt>
                <c:pt idx="2">
                  <c:v>37043</c:v>
                </c:pt>
                <c:pt idx="3">
                  <c:v>37408</c:v>
                </c:pt>
                <c:pt idx="4">
                  <c:v>37773</c:v>
                </c:pt>
                <c:pt idx="5">
                  <c:v>38139</c:v>
                </c:pt>
                <c:pt idx="6">
                  <c:v>38504</c:v>
                </c:pt>
                <c:pt idx="7">
                  <c:v>38869</c:v>
                </c:pt>
                <c:pt idx="8">
                  <c:v>39234</c:v>
                </c:pt>
                <c:pt idx="9">
                  <c:v>39600</c:v>
                </c:pt>
                <c:pt idx="10">
                  <c:v>39965</c:v>
                </c:pt>
                <c:pt idx="11">
                  <c:v>40330</c:v>
                </c:pt>
                <c:pt idx="12">
                  <c:v>40695</c:v>
                </c:pt>
                <c:pt idx="13">
                  <c:v>41061</c:v>
                </c:pt>
                <c:pt idx="14">
                  <c:v>41426</c:v>
                </c:pt>
                <c:pt idx="15">
                  <c:v>41791</c:v>
                </c:pt>
                <c:pt idx="16">
                  <c:v>42156</c:v>
                </c:pt>
              </c:numCache>
            </c:numRef>
          </c:cat>
          <c:val>
            <c:numRef>
              <c:f>'Real per person (Total)'!$B$10:$R$10</c:f>
              <c:numCache>
                <c:formatCode>_-* #,##0_-;\-* #,##0_-;_-* "-"??_-;_-@_-</c:formatCode>
                <c:ptCount val="17"/>
                <c:pt idx="0">
                  <c:v>48.141430494763448</c:v>
                </c:pt>
                <c:pt idx="1">
                  <c:v>217.58870634373636</c:v>
                </c:pt>
                <c:pt idx="2">
                  <c:v>501.79425460020042</c:v>
                </c:pt>
                <c:pt idx="3">
                  <c:v>834.32812609440361</c:v>
                </c:pt>
                <c:pt idx="4">
                  <c:v>1424.1451562419243</c:v>
                </c:pt>
                <c:pt idx="5">
                  <c:v>1749.6849171334973</c:v>
                </c:pt>
                <c:pt idx="6">
                  <c:v>2134.5742335606628</c:v>
                </c:pt>
                <c:pt idx="7">
                  <c:v>2033.4414273185441</c:v>
                </c:pt>
                <c:pt idx="8">
                  <c:v>1632.1842217921105</c:v>
                </c:pt>
                <c:pt idx="9">
                  <c:v>1496.6828607808254</c:v>
                </c:pt>
                <c:pt idx="10">
                  <c:v>-1004.4076048516688</c:v>
                </c:pt>
                <c:pt idx="11">
                  <c:v>-1584.8959855958765</c:v>
                </c:pt>
                <c:pt idx="12">
                  <c:v>-4352.1485891726834</c:v>
                </c:pt>
                <c:pt idx="13">
                  <c:v>-2153.6283478898513</c:v>
                </c:pt>
                <c:pt idx="14">
                  <c:v>-1013.9532276745381</c:v>
                </c:pt>
                <c:pt idx="15">
                  <c:v>-653.0985425887867</c:v>
                </c:pt>
                <c:pt idx="16">
                  <c:v>90.08322907033974</c:v>
                </c:pt>
              </c:numCache>
            </c:numRef>
          </c:val>
          <c:smooth val="0"/>
          <c:extLst xmlns:c16r2="http://schemas.microsoft.com/office/drawing/2015/06/chart">
            <c:ext xmlns:c16="http://schemas.microsoft.com/office/drawing/2014/chart" uri="{C3380CC4-5D6E-409C-BE32-E72D297353CC}">
              <c16:uniqueId val="{00000000-912F-4226-A379-D3CAAD77334B}"/>
            </c:ext>
          </c:extLst>
        </c:ser>
        <c:dLbls>
          <c:showLegendKey val="0"/>
          <c:showVal val="0"/>
          <c:showCatName val="0"/>
          <c:showSerName val="0"/>
          <c:showPercent val="0"/>
          <c:showBubbleSize val="0"/>
        </c:dLbls>
        <c:smooth val="0"/>
        <c:axId val="252437032"/>
        <c:axId val="252437424"/>
      </c:lineChart>
      <c:dateAx>
        <c:axId val="252437032"/>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2437424"/>
        <c:crosses val="autoZero"/>
        <c:auto val="1"/>
        <c:lblOffset val="100"/>
        <c:baseTimeUnit val="years"/>
      </c:dateAx>
      <c:valAx>
        <c:axId val="25243742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2437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Weekly tax</a:t>
            </a:r>
            <a:r>
              <a:rPr lang="en-US" baseline="0"/>
              <a:t> bill for average person</a:t>
            </a:r>
            <a:endParaRPr lang="en-US"/>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bg1">
                  <a:lumMod val="8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4-C705-48FF-8A66-4C20249FBB02}"/>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C705-48FF-8A66-4C20249FBB02}"/>
              </c:ext>
            </c:extLst>
          </c:dPt>
          <c:dPt>
            <c:idx val="2"/>
            <c:bubble3D val="0"/>
            <c:spPr>
              <a:solidFill>
                <a:schemeClr val="tx1">
                  <a:lumMod val="95000"/>
                  <a:lumOff val="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C705-48FF-8A66-4C20249FBB02}"/>
              </c:ext>
            </c:extLst>
          </c:dPt>
          <c:dPt>
            <c:idx val="3"/>
            <c:bubble3D val="0"/>
            <c:spPr>
              <a:solidFill>
                <a:schemeClr val="accent4">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C705-48FF-8A66-4C20249FBB02}"/>
              </c:ext>
            </c:extLst>
          </c:dPt>
          <c:dPt>
            <c:idx val="4"/>
            <c:bubble3D val="0"/>
            <c:spPr>
              <a:solidFill>
                <a:schemeClr val="bg1">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C705-48FF-8A66-4C20249FBB02}"/>
              </c:ext>
            </c:extLst>
          </c:dPt>
          <c:dPt>
            <c:idx val="5"/>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C705-48FF-8A66-4C20249FBB02}"/>
              </c:ext>
            </c:extLst>
          </c:dPt>
          <c:dPt>
            <c:idx val="6"/>
            <c:bubble3D val="0"/>
            <c:spPr>
              <a:solidFill>
                <a:schemeClr val="tx2">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2-C705-48FF-8A66-4C20249FBB02}"/>
              </c:ext>
            </c:extLst>
          </c:dPt>
          <c:dPt>
            <c:idx val="7"/>
            <c:bubble3D val="0"/>
            <c:spPr>
              <a:solidFill>
                <a:srgbClr val="0070C0"/>
              </a:solidFill>
              <a:ln w="19050">
                <a:solidFill>
                  <a:schemeClr val="lt1"/>
                </a:solidFill>
              </a:ln>
              <a:effectLst/>
            </c:spPr>
            <c:extLst xmlns:c16r2="http://schemas.microsoft.com/office/drawing/2015/06/chart">
              <c:ext xmlns:c16="http://schemas.microsoft.com/office/drawing/2014/chart" uri="{C3380CC4-5D6E-409C-BE32-E72D297353CC}">
                <c16:uniqueId val="{00000008-C705-48FF-8A66-4C20249FBB02}"/>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78C2-4A0D-A05C-2EF208E248E8}"/>
              </c:ext>
            </c:extLst>
          </c:dPt>
          <c:dLbls>
            <c:dLbl>
              <c:idx val="0"/>
              <c:layout>
                <c:manualLayout>
                  <c:x val="0.1934300087489064"/>
                  <c:y val="2.5389144065325168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4-C705-48FF-8A66-4C20249FBB02}"/>
                </c:ext>
                <c:ext xmlns:c15="http://schemas.microsoft.com/office/drawing/2012/chart" uri="{CE6537A1-D6FC-4f65-9D91-7224C49458BB}">
                  <c15:layout>
                    <c:manualLayout>
                      <c:w val="0.36368044619422574"/>
                      <c:h val="0.14953703703703702"/>
                    </c:manualLayout>
                  </c15:layout>
                </c:ext>
              </c:extLst>
            </c:dLbl>
            <c:dLbl>
              <c:idx val="1"/>
              <c:layout>
                <c:manualLayout>
                  <c:x val="0.19848315835520561"/>
                  <c:y val="0.19049321959755031"/>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3-C705-48FF-8A66-4C20249FBB02}"/>
                </c:ext>
                <c:ext xmlns:c15="http://schemas.microsoft.com/office/drawing/2012/chart" uri="{CE6537A1-D6FC-4f65-9D91-7224C49458BB}"/>
              </c:extLst>
            </c:dLbl>
            <c:dLbl>
              <c:idx val="2"/>
              <c:layout>
                <c:manualLayout>
                  <c:x val="3.0555555555555454E-2"/>
                  <c:y val="0.13193095654709827"/>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7-C705-48FF-8A66-4C20249FBB02}"/>
                </c:ext>
                <c:ext xmlns:c15="http://schemas.microsoft.com/office/drawing/2012/chart" uri="{CE6537A1-D6FC-4f65-9D91-7224C49458BB}">
                  <c15:layout>
                    <c:manualLayout>
                      <c:w val="0.27916666666666667"/>
                      <c:h val="0.15393518518518517"/>
                    </c:manualLayout>
                  </c15:layout>
                </c:ext>
              </c:extLst>
            </c:dLbl>
            <c:dLbl>
              <c:idx val="3"/>
              <c:layout>
                <c:manualLayout>
                  <c:x val="0.12714501312335949"/>
                  <c:y val="3.1497885680956544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C705-48FF-8A66-4C20249FBB02}"/>
                </c:ext>
                <c:ext xmlns:c15="http://schemas.microsoft.com/office/drawing/2012/chart" uri="{CE6537A1-D6FC-4f65-9D91-7224C49458BB}"/>
              </c:extLst>
            </c:dLbl>
            <c:dLbl>
              <c:idx val="4"/>
              <c:layout>
                <c:manualLayout>
                  <c:x val="3.8888888888888938E-2"/>
                  <c:y val="0"/>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6-C705-48FF-8A66-4C20249FBB02}"/>
                </c:ext>
                <c:ext xmlns:c15="http://schemas.microsoft.com/office/drawing/2012/chart" uri="{CE6537A1-D6FC-4f65-9D91-7224C49458BB}">
                  <c15:layout>
                    <c:manualLayout>
                      <c:w val="0.37777777777777777"/>
                      <c:h val="9.8379629629629636E-2"/>
                    </c:manualLayout>
                  </c15:layout>
                </c:ext>
              </c:extLst>
            </c:dLbl>
            <c:dLbl>
              <c:idx val="5"/>
              <c:layout>
                <c:manualLayout>
                  <c:x val="-3.3333333333333333E-2"/>
                  <c:y val="8.8797754447360835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C705-48FF-8A66-4C20249FBB02}"/>
                </c:ext>
                <c:ext xmlns:c15="http://schemas.microsoft.com/office/drawing/2012/chart" uri="{CE6537A1-D6FC-4f65-9D91-7224C49458BB}">
                  <c15:layout>
                    <c:manualLayout>
                      <c:w val="0.29375000000000001"/>
                      <c:h val="0.19675925925925927"/>
                    </c:manualLayout>
                  </c15:layout>
                </c:ext>
              </c:extLst>
            </c:dLbl>
            <c:dLbl>
              <c:idx val="6"/>
              <c:layout>
                <c:manualLayout>
                  <c:x val="-0.1827979002624672"/>
                  <c:y val="-5.6441017789442986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2-C705-48FF-8A66-4C20249FBB02}"/>
                </c:ext>
                <c:ext xmlns:c15="http://schemas.microsoft.com/office/drawing/2012/chart" uri="{CE6537A1-D6FC-4f65-9D91-7224C49458BB}"/>
              </c:extLst>
            </c:dLbl>
            <c:dLbl>
              <c:idx val="7"/>
              <c:layout>
                <c:manualLayout>
                  <c:x val="-0.13490244969378828"/>
                  <c:y val="4.5753135024788609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8-C705-48FF-8A66-4C20249FBB02}"/>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'Nominal per person (Core)'!$A$37:$A$45</c:f>
              <c:strCache>
                <c:ptCount val="9"/>
                <c:pt idx="0">
                  <c:v> Core govt services </c:v>
                </c:pt>
                <c:pt idx="1">
                  <c:v> Defence </c:v>
                </c:pt>
                <c:pt idx="2">
                  <c:v> Education </c:v>
                </c:pt>
                <c:pt idx="3">
                  <c:v> Finance costs </c:v>
                </c:pt>
                <c:pt idx="4">
                  <c:v> Health </c:v>
                </c:pt>
                <c:pt idx="5">
                  <c:v> Law and order </c:v>
                </c:pt>
                <c:pt idx="6">
                  <c:v> Welfare </c:v>
                </c:pt>
                <c:pt idx="7">
                  <c:v> NZ super </c:v>
                </c:pt>
                <c:pt idx="8">
                  <c:v> All other </c:v>
                </c:pt>
              </c:strCache>
            </c:strRef>
          </c:cat>
          <c:val>
            <c:numRef>
              <c:f>'Nominal per person (Core)'!$Y$37:$Y$45</c:f>
              <c:numCache>
                <c:formatCode>"$"#,##0.00</c:formatCode>
                <c:ptCount val="9"/>
                <c:pt idx="0">
                  <c:v>16.762929574196168</c:v>
                </c:pt>
                <c:pt idx="1">
                  <c:v>8.2793016375722654</c:v>
                </c:pt>
                <c:pt idx="2">
                  <c:v>53.770508858428371</c:v>
                </c:pt>
                <c:pt idx="3">
                  <c:v>14.670628271907422</c:v>
                </c:pt>
                <c:pt idx="4">
                  <c:v>63.856054979617092</c:v>
                </c:pt>
                <c:pt idx="5">
                  <c:v>14.907646778807319</c:v>
                </c:pt>
                <c:pt idx="6">
                  <c:v>48.278217939920417</c:v>
                </c:pt>
                <c:pt idx="7">
                  <c:v>50.129414209328225</c:v>
                </c:pt>
                <c:pt idx="8">
                  <c:v>31.458077001989786</c:v>
                </c:pt>
              </c:numCache>
            </c:numRef>
          </c:val>
          <c:extLst xmlns:c16r2="http://schemas.microsoft.com/office/drawing/2015/06/chart">
            <c:ext xmlns:c16="http://schemas.microsoft.com/office/drawing/2014/chart" uri="{C3380CC4-5D6E-409C-BE32-E72D297353CC}">
              <c16:uniqueId val="{00000000-C705-48FF-8A66-4C20249FBB0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Nominal spending</a:t>
            </a:r>
            <a:r>
              <a:rPr lang="en-US" baseline="0"/>
              <a:t> per capita</a:t>
            </a:r>
            <a:endParaRPr lang="en-US"/>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'Real per person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'Nominal per person (Core)'!$B$46:$Y$46</c:f>
              <c:numCache>
                <c:formatCode>"$"#,##0.00</c:formatCode>
                <c:ptCount val="24"/>
                <c:pt idx="0">
                  <c:v>168.73283964968834</c:v>
                </c:pt>
                <c:pt idx="1">
                  <c:v>157.02174333942838</c:v>
                </c:pt>
                <c:pt idx="2">
                  <c:v>158.71215207741861</c:v>
                </c:pt>
                <c:pt idx="3">
                  <c:v>163.12147981117857</c:v>
                </c:pt>
                <c:pt idx="4">
                  <c:v>167.13162749170709</c:v>
                </c:pt>
                <c:pt idx="5">
                  <c:v>171.97924786423513</c:v>
                </c:pt>
                <c:pt idx="6">
                  <c:v>179.14897390379423</c:v>
                </c:pt>
                <c:pt idx="7">
                  <c:v>179.8195403486198</c:v>
                </c:pt>
                <c:pt idx="8">
                  <c:v>181.37246743393263</c:v>
                </c:pt>
                <c:pt idx="9">
                  <c:v>184.42223181173037</c:v>
                </c:pt>
                <c:pt idx="10">
                  <c:v>189.99486400409077</c:v>
                </c:pt>
                <c:pt idx="11">
                  <c:v>196.50538915689603</c:v>
                </c:pt>
                <c:pt idx="12">
                  <c:v>208.27772619786373</c:v>
                </c:pt>
                <c:pt idx="13">
                  <c:v>226.03246554118621</c:v>
                </c:pt>
                <c:pt idx="14">
                  <c:v>245.19589223235567</c:v>
                </c:pt>
                <c:pt idx="15">
                  <c:v>256.60948465354619</c:v>
                </c:pt>
                <c:pt idx="16">
                  <c:v>285.27807845692797</c:v>
                </c:pt>
                <c:pt idx="17">
                  <c:v>282.1739102985776</c:v>
                </c:pt>
                <c:pt idx="18">
                  <c:v>308.18978686489618</c:v>
                </c:pt>
                <c:pt idx="19">
                  <c:v>300.53315047905647</c:v>
                </c:pt>
                <c:pt idx="20">
                  <c:v>303.53507088006228</c:v>
                </c:pt>
                <c:pt idx="21">
                  <c:v>303.92307974170689</c:v>
                </c:pt>
                <c:pt idx="22">
                  <c:v>301.9708254367078</c:v>
                </c:pt>
                <c:pt idx="23">
                  <c:v>302.11277925176705</c:v>
                </c:pt>
              </c:numCache>
            </c:numRef>
          </c:val>
          <c:smooth val="0"/>
          <c:extLst xmlns:c16r2="http://schemas.microsoft.com/office/drawing/2015/06/chart">
            <c:ext xmlns:c16="http://schemas.microsoft.com/office/drawing/2014/chart" uri="{C3380CC4-5D6E-409C-BE32-E72D297353CC}">
              <c16:uniqueId val="{00000000-C580-4227-8FD6-85629F131F53}"/>
            </c:ext>
          </c:extLst>
        </c:ser>
        <c:dLbls>
          <c:showLegendKey val="0"/>
          <c:showVal val="0"/>
          <c:showCatName val="0"/>
          <c:showSerName val="0"/>
          <c:showPercent val="0"/>
          <c:showBubbleSize val="0"/>
        </c:dLbls>
        <c:smooth val="0"/>
        <c:axId val="250064400"/>
        <c:axId val="191735600"/>
      </c:lineChart>
      <c:dateAx>
        <c:axId val="250064400"/>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735600"/>
        <c:crosses val="autoZero"/>
        <c:auto val="1"/>
        <c:lblOffset val="100"/>
        <c:baseTimeUnit val="years"/>
        <c:majorUnit val="3"/>
        <c:majorTimeUnit val="years"/>
      </c:dateAx>
      <c:valAx>
        <c:axId val="191735600"/>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0064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Percentage of real spending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718285214349"/>
          <c:y val="0.18009295713035869"/>
          <c:w val="0.84040726159230095"/>
          <c:h val="0.47138414989792948"/>
        </c:manualLayout>
      </c:layout>
      <c:barChart>
        <c:barDir val="col"/>
        <c:grouping val="percentStacked"/>
        <c:varyColors val="0"/>
        <c:ser>
          <c:idx val="0"/>
          <c:order val="0"/>
          <c:tx>
            <c:strRef>
              <c:f>'Real (Core)'!$A$6</c:f>
              <c:strCache>
                <c:ptCount val="1"/>
                <c:pt idx="0">
                  <c:v> Core govt services </c:v>
                </c:pt>
              </c:strCache>
            </c:strRef>
          </c:tx>
          <c:spPr>
            <a:solidFill>
              <a:schemeClr val="accent1"/>
            </a:solidFill>
            <a:ln>
              <a:noFill/>
            </a:ln>
            <a:effectLst/>
          </c:spPr>
          <c:invertIfNegative val="0"/>
          <c:cat>
            <c:numRef>
              <c:f>'Real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(Core)'!$B$6:$Y$6</c:f>
              <c:numCache>
                <c:formatCode>0</c:formatCode>
                <c:ptCount val="24"/>
                <c:pt idx="0">
                  <c:v>2332.5094353611375</c:v>
                </c:pt>
                <c:pt idx="1">
                  <c:v>2715.4631025911376</c:v>
                </c:pt>
                <c:pt idx="2">
                  <c:v>2019.3325244776352</c:v>
                </c:pt>
                <c:pt idx="3">
                  <c:v>2312.1564260054051</c:v>
                </c:pt>
                <c:pt idx="4">
                  <c:v>2435.5636533866814</c:v>
                </c:pt>
                <c:pt idx="5">
                  <c:v>2244.8434082198514</c:v>
                </c:pt>
                <c:pt idx="6">
                  <c:v>2459.2920012050531</c:v>
                </c:pt>
                <c:pt idx="7">
                  <c:v>2418.1411750908255</c:v>
                </c:pt>
                <c:pt idx="8">
                  <c:v>2462.9014257504173</c:v>
                </c:pt>
                <c:pt idx="9">
                  <c:v>2052.9537900798027</c:v>
                </c:pt>
                <c:pt idx="10">
                  <c:v>2798.0983619961744</c:v>
                </c:pt>
                <c:pt idx="11">
                  <c:v>2683.3259788720929</c:v>
                </c:pt>
                <c:pt idx="12">
                  <c:v>3202.0790020790023</c:v>
                </c:pt>
                <c:pt idx="13">
                  <c:v>3008.4</c:v>
                </c:pt>
                <c:pt idx="14">
                  <c:v>5665.8823529411766</c:v>
                </c:pt>
                <c:pt idx="15">
                  <c:v>3812.6295947219605</c:v>
                </c:pt>
                <c:pt idx="16">
                  <c:v>5875.6706753006474</c:v>
                </c:pt>
                <c:pt idx="17">
                  <c:v>3247.3157415832575</c:v>
                </c:pt>
                <c:pt idx="18">
                  <c:v>5769.749351771824</c:v>
                </c:pt>
                <c:pt idx="19">
                  <c:v>5576.7123287671229</c:v>
                </c:pt>
                <c:pt idx="20">
                  <c:v>4381.6326530612241</c:v>
                </c:pt>
                <c:pt idx="21">
                  <c:v>4520.8368200836821</c:v>
                </c:pt>
                <c:pt idx="22">
                  <c:v>4134</c:v>
                </c:pt>
                <c:pt idx="23">
                  <c:v>4084.9792531120333</c:v>
                </c:pt>
              </c:numCache>
            </c:numRef>
          </c:val>
          <c:extLst xmlns:c16r2="http://schemas.microsoft.com/office/drawing/2015/06/chart">
            <c:ext xmlns:c16="http://schemas.microsoft.com/office/drawing/2014/chart" uri="{C3380CC4-5D6E-409C-BE32-E72D297353CC}">
              <c16:uniqueId val="{00000000-7211-4B02-A17C-7EA8308B0F10}"/>
            </c:ext>
          </c:extLst>
        </c:ser>
        <c:ser>
          <c:idx val="1"/>
          <c:order val="1"/>
          <c:tx>
            <c:strRef>
              <c:f>'Real (Core)'!$A$7</c:f>
              <c:strCache>
                <c:ptCount val="1"/>
                <c:pt idx="0">
                  <c:v> Defence </c:v>
                </c:pt>
              </c:strCache>
            </c:strRef>
          </c:tx>
          <c:spPr>
            <a:solidFill>
              <a:schemeClr val="accent2"/>
            </a:solidFill>
            <a:ln>
              <a:noFill/>
            </a:ln>
            <a:effectLst/>
          </c:spPr>
          <c:invertIfNegative val="0"/>
          <c:cat>
            <c:numRef>
              <c:f>'Real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(Core)'!$B$7:$Y$7</c:f>
              <c:numCache>
                <c:formatCode>0</c:formatCode>
                <c:ptCount val="24"/>
                <c:pt idx="0">
                  <c:v>1868.8753877586164</c:v>
                </c:pt>
                <c:pt idx="1">
                  <c:v>1653.2331947870593</c:v>
                </c:pt>
                <c:pt idx="2">
                  <c:v>1526.5551099222719</c:v>
                </c:pt>
                <c:pt idx="3">
                  <c:v>1433.0937592493567</c:v>
                </c:pt>
                <c:pt idx="4">
                  <c:v>1382.1494997623279</c:v>
                </c:pt>
                <c:pt idx="5">
                  <c:v>1530.5750510589896</c:v>
                </c:pt>
                <c:pt idx="6">
                  <c:v>1485.6720007279791</c:v>
                </c:pt>
                <c:pt idx="7">
                  <c:v>1763.4047048761749</c:v>
                </c:pt>
                <c:pt idx="8">
                  <c:v>1701.2923085550713</c:v>
                </c:pt>
                <c:pt idx="9">
                  <c:v>1549.0469506965785</c:v>
                </c:pt>
                <c:pt idx="10">
                  <c:v>1575.0797821753115</c:v>
                </c:pt>
                <c:pt idx="11">
                  <c:v>1682.372242133579</c:v>
                </c:pt>
                <c:pt idx="12">
                  <c:v>1590.4365904365904</c:v>
                </c:pt>
                <c:pt idx="13">
                  <c:v>1659.6</c:v>
                </c:pt>
                <c:pt idx="14">
                  <c:v>1784.7058823529412</c:v>
                </c:pt>
                <c:pt idx="15">
                  <c:v>1766.6352497643732</c:v>
                </c:pt>
                <c:pt idx="16">
                  <c:v>1950.4162812210916</c:v>
                </c:pt>
                <c:pt idx="17">
                  <c:v>1980.7097361237488</c:v>
                </c:pt>
                <c:pt idx="18">
                  <c:v>1876.2316335350044</c:v>
                </c:pt>
                <c:pt idx="19">
                  <c:v>1783.5616438356165</c:v>
                </c:pt>
                <c:pt idx="20">
                  <c:v>1840.8163265306123</c:v>
                </c:pt>
                <c:pt idx="21">
                  <c:v>1818.5774058577406</c:v>
                </c:pt>
                <c:pt idx="22">
                  <c:v>1961</c:v>
                </c:pt>
                <c:pt idx="23">
                  <c:v>2017.5933609958506</c:v>
                </c:pt>
              </c:numCache>
            </c:numRef>
          </c:val>
          <c:extLst xmlns:c16r2="http://schemas.microsoft.com/office/drawing/2015/06/chart">
            <c:ext xmlns:c16="http://schemas.microsoft.com/office/drawing/2014/chart" uri="{C3380CC4-5D6E-409C-BE32-E72D297353CC}">
              <c16:uniqueId val="{00000001-7211-4B02-A17C-7EA8308B0F10}"/>
            </c:ext>
          </c:extLst>
        </c:ser>
        <c:ser>
          <c:idx val="2"/>
          <c:order val="2"/>
          <c:tx>
            <c:strRef>
              <c:f>'Real (Core)'!$A$8</c:f>
              <c:strCache>
                <c:ptCount val="1"/>
                <c:pt idx="0">
                  <c:v> Education </c:v>
                </c:pt>
              </c:strCache>
            </c:strRef>
          </c:tx>
          <c:spPr>
            <a:solidFill>
              <a:schemeClr val="accent3"/>
            </a:solidFill>
            <a:ln>
              <a:noFill/>
            </a:ln>
            <a:effectLst/>
          </c:spPr>
          <c:invertIfNegative val="0"/>
          <c:cat>
            <c:numRef>
              <c:f>'Real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(Core)'!$B$8:$Y$8</c:f>
              <c:numCache>
                <c:formatCode>0</c:formatCode>
                <c:ptCount val="24"/>
                <c:pt idx="0">
                  <c:v>7231.7351961094282</c:v>
                </c:pt>
                <c:pt idx="1">
                  <c:v>7292.1925569873438</c:v>
                </c:pt>
                <c:pt idx="2">
                  <c:v>7237.9508321388666</c:v>
                </c:pt>
                <c:pt idx="3">
                  <c:v>7311.7330046650168</c:v>
                </c:pt>
                <c:pt idx="4">
                  <c:v>7794.6803184270821</c:v>
                </c:pt>
                <c:pt idx="5">
                  <c:v>8211.930367841378</c:v>
                </c:pt>
                <c:pt idx="6">
                  <c:v>8508.717604169271</c:v>
                </c:pt>
                <c:pt idx="7">
                  <c:v>8923.0823478497714</c:v>
                </c:pt>
                <c:pt idx="8">
                  <c:v>8405.0963005587091</c:v>
                </c:pt>
                <c:pt idx="9">
                  <c:v>8629.0713527185471</c:v>
                </c:pt>
                <c:pt idx="10">
                  <c:v>9216.6469989507805</c:v>
                </c:pt>
                <c:pt idx="11">
                  <c:v>9733.633452771317</c:v>
                </c:pt>
                <c:pt idx="12">
                  <c:v>9891.8918918918916</c:v>
                </c:pt>
                <c:pt idx="13">
                  <c:v>11896.8</c:v>
                </c:pt>
                <c:pt idx="14">
                  <c:v>10904.705882352942</c:v>
                </c:pt>
                <c:pt idx="15">
                  <c:v>10802.262016965127</c:v>
                </c:pt>
                <c:pt idx="16">
                  <c:v>12716.003700277521</c:v>
                </c:pt>
                <c:pt idx="17">
                  <c:v>12801.455868971792</c:v>
                </c:pt>
                <c:pt idx="18">
                  <c:v>12082.973206568713</c:v>
                </c:pt>
                <c:pt idx="19">
                  <c:v>11973.287671232876</c:v>
                </c:pt>
                <c:pt idx="20">
                  <c:v>12759.183673469388</c:v>
                </c:pt>
                <c:pt idx="21">
                  <c:v>12351.464435146443</c:v>
                </c:pt>
                <c:pt idx="22">
                  <c:v>12879</c:v>
                </c:pt>
                <c:pt idx="23">
                  <c:v>13103.402489626556</c:v>
                </c:pt>
              </c:numCache>
            </c:numRef>
          </c:val>
          <c:extLst xmlns:c16r2="http://schemas.microsoft.com/office/drawing/2015/06/chart">
            <c:ext xmlns:c16="http://schemas.microsoft.com/office/drawing/2014/chart" uri="{C3380CC4-5D6E-409C-BE32-E72D297353CC}">
              <c16:uniqueId val="{00000002-7211-4B02-A17C-7EA8308B0F10}"/>
            </c:ext>
          </c:extLst>
        </c:ser>
        <c:ser>
          <c:idx val="3"/>
          <c:order val="3"/>
          <c:tx>
            <c:strRef>
              <c:f>'Real (Core)'!$A$9</c:f>
              <c:strCache>
                <c:ptCount val="1"/>
                <c:pt idx="0">
                  <c:v> Finance costs </c:v>
                </c:pt>
              </c:strCache>
            </c:strRef>
          </c:tx>
          <c:spPr>
            <a:solidFill>
              <a:schemeClr val="accent4"/>
            </a:solidFill>
            <a:ln>
              <a:noFill/>
            </a:ln>
            <a:effectLst/>
          </c:spPr>
          <c:invertIfNegative val="0"/>
          <c:cat>
            <c:numRef>
              <c:f>'Real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(Core)'!$B$9:$Y$9</c:f>
              <c:numCache>
                <c:formatCode>0</c:formatCode>
                <c:ptCount val="24"/>
                <c:pt idx="0">
                  <c:v>6310.8400775037335</c:v>
                </c:pt>
                <c:pt idx="1">
                  <c:v>5969.9212029107539</c:v>
                </c:pt>
                <c:pt idx="2">
                  <c:v>5661.6658913899064</c:v>
                </c:pt>
                <c:pt idx="3">
                  <c:v>5470.8723613405855</c:v>
                </c:pt>
                <c:pt idx="4">
                  <c:v>4488.3332592704774</c:v>
                </c:pt>
                <c:pt idx="5">
                  <c:v>4029.7957212858282</c:v>
                </c:pt>
                <c:pt idx="6">
                  <c:v>3629.078401778248</c:v>
                </c:pt>
                <c:pt idx="7">
                  <c:v>3355.7011745558648</c:v>
                </c:pt>
                <c:pt idx="8">
                  <c:v>3156.0205144210017</c:v>
                </c:pt>
                <c:pt idx="9">
                  <c:v>2823.4780047980662</c:v>
                </c:pt>
                <c:pt idx="10">
                  <c:v>3100.2404386436488</c:v>
                </c:pt>
                <c:pt idx="11">
                  <c:v>2889.9330963270941</c:v>
                </c:pt>
                <c:pt idx="12">
                  <c:v>2836.5904365904366</c:v>
                </c:pt>
                <c:pt idx="13">
                  <c:v>2827.2</c:v>
                </c:pt>
                <c:pt idx="14">
                  <c:v>2740</c:v>
                </c:pt>
                <c:pt idx="15">
                  <c:v>2782.2808671065031</c:v>
                </c:pt>
                <c:pt idx="16">
                  <c:v>2696.3922294172062</c:v>
                </c:pt>
                <c:pt idx="17">
                  <c:v>2523.3848953594174</c:v>
                </c:pt>
                <c:pt idx="18">
                  <c:v>3179.9481417458946</c:v>
                </c:pt>
                <c:pt idx="19">
                  <c:v>3607.1917808219177</c:v>
                </c:pt>
                <c:pt idx="20">
                  <c:v>3692.8571428571431</c:v>
                </c:pt>
                <c:pt idx="21">
                  <c:v>3635.1464435146445</c:v>
                </c:pt>
                <c:pt idx="22">
                  <c:v>3783</c:v>
                </c:pt>
                <c:pt idx="23">
                  <c:v>3575.1037344398342</c:v>
                </c:pt>
              </c:numCache>
            </c:numRef>
          </c:val>
          <c:extLst xmlns:c16r2="http://schemas.microsoft.com/office/drawing/2015/06/chart">
            <c:ext xmlns:c16="http://schemas.microsoft.com/office/drawing/2014/chart" uri="{C3380CC4-5D6E-409C-BE32-E72D297353CC}">
              <c16:uniqueId val="{00000003-7211-4B02-A17C-7EA8308B0F10}"/>
            </c:ext>
          </c:extLst>
        </c:ser>
        <c:ser>
          <c:idx val="4"/>
          <c:order val="4"/>
          <c:tx>
            <c:strRef>
              <c:f>'Real (Core)'!$A$10</c:f>
              <c:strCache>
                <c:ptCount val="1"/>
                <c:pt idx="0">
                  <c:v> Health </c:v>
                </c:pt>
              </c:strCache>
            </c:strRef>
          </c:tx>
          <c:spPr>
            <a:solidFill>
              <a:schemeClr val="accent5"/>
            </a:solidFill>
            <a:ln>
              <a:noFill/>
            </a:ln>
            <a:effectLst/>
          </c:spPr>
          <c:invertIfNegative val="0"/>
          <c:cat>
            <c:numRef>
              <c:f>'Real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(Core)'!$B$10:$Y$10</c:f>
              <c:numCache>
                <c:formatCode>0</c:formatCode>
                <c:ptCount val="24"/>
                <c:pt idx="0">
                  <c:v>6640.6416165199598</c:v>
                </c:pt>
                <c:pt idx="1">
                  <c:v>7252.792337855145</c:v>
                </c:pt>
                <c:pt idx="2">
                  <c:v>7363.0288914908397</c:v>
                </c:pt>
                <c:pt idx="3">
                  <c:v>7723.9321374800375</c:v>
                </c:pt>
                <c:pt idx="4">
                  <c:v>8219.8446994321948</c:v>
                </c:pt>
                <c:pt idx="5">
                  <c:v>8624.3951938075097</c:v>
                </c:pt>
                <c:pt idx="6">
                  <c:v>9480.8952046456379</c:v>
                </c:pt>
                <c:pt idx="7">
                  <c:v>9720.644700335868</c:v>
                </c:pt>
                <c:pt idx="8">
                  <c:v>9122.8717994982089</c:v>
                </c:pt>
                <c:pt idx="9">
                  <c:v>9374.2669167799831</c:v>
                </c:pt>
                <c:pt idx="10">
                  <c:v>9853.7726823161065</c:v>
                </c:pt>
                <c:pt idx="11">
                  <c:v>10408.635588059085</c:v>
                </c:pt>
                <c:pt idx="12">
                  <c:v>10993.347193347194</c:v>
                </c:pt>
                <c:pt idx="13">
                  <c:v>11456.4</c:v>
                </c:pt>
                <c:pt idx="14">
                  <c:v>12182.35294117647</c:v>
                </c:pt>
                <c:pt idx="15">
                  <c:v>12777.002827521206</c:v>
                </c:pt>
                <c:pt idx="16">
                  <c:v>13729.509713228492</c:v>
                </c:pt>
                <c:pt idx="17">
                  <c:v>14334.485896269334</c:v>
                </c:pt>
                <c:pt idx="18">
                  <c:v>14264.131374243734</c:v>
                </c:pt>
                <c:pt idx="19">
                  <c:v>14547.945205479451</c:v>
                </c:pt>
                <c:pt idx="20">
                  <c:v>14793.877551020409</c:v>
                </c:pt>
                <c:pt idx="21">
                  <c:v>14960.334728033473</c:v>
                </c:pt>
                <c:pt idx="22">
                  <c:v>15058</c:v>
                </c:pt>
                <c:pt idx="23">
                  <c:v>15561.161825726142</c:v>
                </c:pt>
              </c:numCache>
            </c:numRef>
          </c:val>
          <c:extLst xmlns:c16r2="http://schemas.microsoft.com/office/drawing/2015/06/chart">
            <c:ext xmlns:c16="http://schemas.microsoft.com/office/drawing/2014/chart" uri="{C3380CC4-5D6E-409C-BE32-E72D297353CC}">
              <c16:uniqueId val="{00000004-7211-4B02-A17C-7EA8308B0F10}"/>
            </c:ext>
          </c:extLst>
        </c:ser>
        <c:ser>
          <c:idx val="5"/>
          <c:order val="5"/>
          <c:tx>
            <c:strRef>
              <c:f>'Real (Core)'!$A$11</c:f>
              <c:strCache>
                <c:ptCount val="1"/>
                <c:pt idx="0">
                  <c:v> Law and order </c:v>
                </c:pt>
              </c:strCache>
            </c:strRef>
          </c:tx>
          <c:spPr>
            <a:solidFill>
              <a:schemeClr val="accent6"/>
            </a:solidFill>
            <a:ln>
              <a:noFill/>
            </a:ln>
            <a:effectLst/>
          </c:spPr>
          <c:invertIfNegative val="0"/>
          <c:cat>
            <c:numRef>
              <c:f>'Real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(Core)'!$B$11:$Y$11</c:f>
              <c:numCache>
                <c:formatCode>0</c:formatCode>
                <c:ptCount val="24"/>
                <c:pt idx="0">
                  <c:v>1679.279333928032</c:v>
                </c:pt>
                <c:pt idx="1">
                  <c:v>1812.4100800811423</c:v>
                </c:pt>
                <c:pt idx="2">
                  <c:v>1793.2878389017803</c:v>
                </c:pt>
                <c:pt idx="3">
                  <c:v>1823.1316483646456</c:v>
                </c:pt>
                <c:pt idx="4">
                  <c:v>1871.599904012201</c:v>
                </c:pt>
                <c:pt idx="5">
                  <c:v>1932.9797593186302</c:v>
                </c:pt>
                <c:pt idx="6">
                  <c:v>2162.1576010594572</c:v>
                </c:pt>
                <c:pt idx="7">
                  <c:v>2165.0141164117272</c:v>
                </c:pt>
                <c:pt idx="8">
                  <c:v>2110.862679133144</c:v>
                </c:pt>
                <c:pt idx="9">
                  <c:v>2310.2395572781156</c:v>
                </c:pt>
                <c:pt idx="10">
                  <c:v>2277.8885256813928</c:v>
                </c:pt>
                <c:pt idx="11">
                  <c:v>2365.0740215501041</c:v>
                </c:pt>
                <c:pt idx="12">
                  <c:v>2466.1122661122663</c:v>
                </c:pt>
                <c:pt idx="13">
                  <c:v>2682</c:v>
                </c:pt>
                <c:pt idx="14">
                  <c:v>3175.294117647059</c:v>
                </c:pt>
                <c:pt idx="15">
                  <c:v>3273.1385485391143</c:v>
                </c:pt>
                <c:pt idx="16">
                  <c:v>3429.0471785383902</c:v>
                </c:pt>
                <c:pt idx="17">
                  <c:v>3484.258416742493</c:v>
                </c:pt>
                <c:pt idx="18">
                  <c:v>3507.6923076923081</c:v>
                </c:pt>
                <c:pt idx="19">
                  <c:v>3496.2328767123286</c:v>
                </c:pt>
                <c:pt idx="20">
                  <c:v>3526.5306122448978</c:v>
                </c:pt>
                <c:pt idx="21">
                  <c:v>3515.6485355648533</c:v>
                </c:pt>
                <c:pt idx="22">
                  <c:v>3515</c:v>
                </c:pt>
                <c:pt idx="23">
                  <c:v>3632.8630705394189</c:v>
                </c:pt>
              </c:numCache>
            </c:numRef>
          </c:val>
          <c:extLst xmlns:c16r2="http://schemas.microsoft.com/office/drawing/2015/06/chart">
            <c:ext xmlns:c16="http://schemas.microsoft.com/office/drawing/2014/chart" uri="{C3380CC4-5D6E-409C-BE32-E72D297353CC}">
              <c16:uniqueId val="{00000005-7211-4B02-A17C-7EA8308B0F10}"/>
            </c:ext>
          </c:extLst>
        </c:ser>
        <c:ser>
          <c:idx val="6"/>
          <c:order val="6"/>
          <c:tx>
            <c:strRef>
              <c:f>'Real (Core)'!$A$12</c:f>
              <c:strCache>
                <c:ptCount val="1"/>
                <c:pt idx="0">
                  <c:v> Welfare </c:v>
                </c:pt>
              </c:strCache>
            </c:strRef>
          </c:tx>
          <c:spPr>
            <a:solidFill>
              <a:schemeClr val="accent1">
                <a:lumMod val="60000"/>
              </a:schemeClr>
            </a:solidFill>
            <a:ln>
              <a:noFill/>
            </a:ln>
            <a:effectLst/>
          </c:spPr>
          <c:invertIfNegative val="0"/>
          <c:cat>
            <c:numRef>
              <c:f>'Real (Core)'!$B$2:$Y$2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(Core)'!$B$12:$Y$12</c:f>
              <c:numCache>
                <c:formatCode>0</c:formatCode>
                <c:ptCount val="24"/>
                <c:pt idx="0">
                  <c:v>11009.238486769458</c:v>
                </c:pt>
                <c:pt idx="1">
                  <c:v>10283.589492345969</c:v>
                </c:pt>
                <c:pt idx="2">
                  <c:v>10230.706970759644</c:v>
                </c:pt>
                <c:pt idx="3">
                  <c:v>10667.105516476813</c:v>
                </c:pt>
                <c:pt idx="4">
                  <c:v>11006.767118398031</c:v>
                </c:pt>
                <c:pt idx="5">
                  <c:v>10639.293054450423</c:v>
                </c:pt>
                <c:pt idx="6">
                  <c:v>11301.204005537589</c:v>
                </c:pt>
                <c:pt idx="7">
                  <c:v>11069.712934860223</c:v>
                </c:pt>
                <c:pt idx="8">
                  <c:v>10867.997726309126</c:v>
                </c:pt>
                <c:pt idx="9">
                  <c:v>10711.353054085204</c:v>
                </c:pt>
                <c:pt idx="10">
                  <c:v>10857.409841266846</c:v>
                </c:pt>
                <c:pt idx="11">
                  <c:v>10732.020641466912</c:v>
                </c:pt>
                <c:pt idx="12">
                  <c:v>10726.403326403326</c:v>
                </c:pt>
                <c:pt idx="13">
                  <c:v>11020.8</c:v>
                </c:pt>
                <c:pt idx="14">
                  <c:v>11715.294117647059</c:v>
                </c:pt>
                <c:pt idx="15">
                  <c:v>11908.388312912348</c:v>
                </c:pt>
                <c:pt idx="16">
                  <c:v>12919.148936170212</c:v>
                </c:pt>
                <c:pt idx="17">
                  <c:v>14080.072793448589</c:v>
                </c:pt>
                <c:pt idx="18">
                  <c:v>13664.64995678479</c:v>
                </c:pt>
                <c:pt idx="19">
                  <c:v>12784.931506849314</c:v>
                </c:pt>
                <c:pt idx="20">
                  <c:v>12761.224489795919</c:v>
                </c:pt>
                <c:pt idx="21">
                  <c:v>12419.748953974895</c:v>
                </c:pt>
                <c:pt idx="22">
                  <c:v>11932</c:v>
                </c:pt>
                <c:pt idx="23">
                  <c:v>11764.979253112033</c:v>
                </c:pt>
              </c:numCache>
            </c:numRef>
          </c:val>
          <c:extLst xmlns:c16r2="http://schemas.microsoft.com/office/drawing/2015/06/chart">
            <c:ext xmlns:c16="http://schemas.microsoft.com/office/drawing/2014/chart" uri="{C3380CC4-5D6E-409C-BE32-E72D297353CC}">
              <c16:uniqueId val="{00000006-7211-4B02-A17C-7EA8308B0F10}"/>
            </c:ext>
          </c:extLst>
        </c:ser>
        <c:dLbls>
          <c:showLegendKey val="0"/>
          <c:showVal val="0"/>
          <c:showCatName val="0"/>
          <c:showSerName val="0"/>
          <c:showPercent val="0"/>
          <c:showBubbleSize val="0"/>
        </c:dLbls>
        <c:gapWidth val="0"/>
        <c:overlap val="100"/>
        <c:axId val="250063040"/>
        <c:axId val="191598560"/>
      </c:barChart>
      <c:dateAx>
        <c:axId val="250063040"/>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598560"/>
        <c:crosses val="autoZero"/>
        <c:auto val="1"/>
        <c:lblOffset val="100"/>
        <c:baseTimeUnit val="years"/>
        <c:majorUnit val="4"/>
        <c:majorTimeUnit val="years"/>
      </c:dateAx>
      <c:valAx>
        <c:axId val="191598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0063040"/>
        <c:crosses val="autoZero"/>
        <c:crossBetween val="between"/>
      </c:valAx>
      <c:spPr>
        <a:noFill/>
        <a:ln>
          <a:noFill/>
        </a:ln>
        <a:effectLst/>
      </c:spPr>
    </c:plotArea>
    <c:legend>
      <c:legendPos val="b"/>
      <c:layout>
        <c:manualLayout>
          <c:xMode val="edge"/>
          <c:yMode val="edge"/>
          <c:x val="0"/>
          <c:y val="0.77076771653543286"/>
          <c:w val="0.93430927384076989"/>
          <c:h val="0.2014545056867891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Annual  Real per capita spending</a:t>
            </a:r>
          </a:p>
        </c:rich>
      </c:tx>
      <c:layout>
        <c:manualLayout>
          <c:xMode val="edge"/>
          <c:yMode val="edge"/>
          <c:x val="0.22691666666666666"/>
          <c:y val="4.6296296296296294E-3"/>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049584426946632"/>
          <c:y val="0.34675962379702541"/>
          <c:w val="0.79130839895013128"/>
          <c:h val="0.4834594634004083"/>
        </c:manualLayout>
      </c:layout>
      <c:lineChart>
        <c:grouping val="standard"/>
        <c:varyColors val="0"/>
        <c:ser>
          <c:idx val="0"/>
          <c:order val="0"/>
          <c:tx>
            <c:strRef>
              <c:f>'Real per person (Core)'!$A$6</c:f>
              <c:strCache>
                <c:ptCount val="1"/>
                <c:pt idx="0">
                  <c:v> Core govt services </c:v>
                </c:pt>
              </c:strCache>
            </c:strRef>
          </c:tx>
          <c:spPr>
            <a:ln w="28575" cap="rnd">
              <a:solidFill>
                <a:srgbClr val="00B0F0"/>
              </a:solidFill>
              <a:prstDash val="sysDash"/>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(Core)'!$B$6:$AC$6</c:f>
              <c:numCache>
                <c:formatCode>_-* #,##0_-;\-* #,##0_-;_-* "-"??_-;_-@_-</c:formatCode>
                <c:ptCount val="28"/>
                <c:pt idx="0">
                  <c:v>652.96160219504429</c:v>
                </c:pt>
                <c:pt idx="1">
                  <c:v>750.12792889257935</c:v>
                </c:pt>
                <c:pt idx="2">
                  <c:v>549.71757077302641</c:v>
                </c:pt>
                <c:pt idx="3">
                  <c:v>619.54888156629283</c:v>
                </c:pt>
                <c:pt idx="4">
                  <c:v>644.10749038338179</c:v>
                </c:pt>
                <c:pt idx="5">
                  <c:v>588.42553295408948</c:v>
                </c:pt>
                <c:pt idx="6">
                  <c:v>641.25889838727892</c:v>
                </c:pt>
                <c:pt idx="7">
                  <c:v>626.83494701268262</c:v>
                </c:pt>
                <c:pt idx="8">
                  <c:v>634.68661918577948</c:v>
                </c:pt>
                <c:pt idx="9">
                  <c:v>519.93257948076553</c:v>
                </c:pt>
                <c:pt idx="10">
                  <c:v>694.79995083337667</c:v>
                </c:pt>
                <c:pt idx="11">
                  <c:v>656.47118749164349</c:v>
                </c:pt>
                <c:pt idx="12">
                  <c:v>774.590338924261</c:v>
                </c:pt>
                <c:pt idx="13">
                  <c:v>718.91660672508681</c:v>
                </c:pt>
                <c:pt idx="14">
                  <c:v>1341.3991829608881</c:v>
                </c:pt>
                <c:pt idx="15">
                  <c:v>895.03599852619527</c:v>
                </c:pt>
                <c:pt idx="16">
                  <c:v>1365.6124974261195</c:v>
                </c:pt>
                <c:pt idx="17">
                  <c:v>746.39440398450301</c:v>
                </c:pt>
                <c:pt idx="18">
                  <c:v>1316.101467795588</c:v>
                </c:pt>
                <c:pt idx="19">
                  <c:v>1265.1401160547741</c:v>
                </c:pt>
                <c:pt idx="20">
                  <c:v>986.38766643281872</c:v>
                </c:pt>
                <c:pt idx="21">
                  <c:v>1002.4717486309884</c:v>
                </c:pt>
                <c:pt idx="22">
                  <c:v>899.52673665886959</c:v>
                </c:pt>
                <c:pt idx="23">
                  <c:v>870.44092331387878</c:v>
                </c:pt>
                <c:pt idx="24">
                  <c:v>841.06667437457008</c:v>
                </c:pt>
                <c:pt idx="25">
                  <c:v>944.74719356019239</c:v>
                </c:pt>
                <c:pt idx="26">
                  <c:v>857.77476321603899</c:v>
                </c:pt>
                <c:pt idx="27">
                  <c:v>846.93067684100834</c:v>
                </c:pt>
              </c:numCache>
            </c:numRef>
          </c:val>
          <c:smooth val="0"/>
          <c:extLst xmlns:c16r2="http://schemas.microsoft.com/office/drawing/2015/06/chart">
            <c:ext xmlns:c16="http://schemas.microsoft.com/office/drawing/2014/chart" uri="{C3380CC4-5D6E-409C-BE32-E72D297353CC}">
              <c16:uniqueId val="{00000000-0C3A-4D6F-B862-5251B5A2CDD5}"/>
            </c:ext>
          </c:extLst>
        </c:ser>
        <c:ser>
          <c:idx val="1"/>
          <c:order val="1"/>
          <c:tx>
            <c:strRef>
              <c:f>'Real per person (Core)'!$A$7</c:f>
              <c:strCache>
                <c:ptCount val="1"/>
                <c:pt idx="0">
                  <c:v> Defence </c:v>
                </c:pt>
              </c:strCache>
            </c:strRef>
          </c:tx>
          <c:spPr>
            <a:ln w="28575" cap="rnd">
              <a:solidFill>
                <a:schemeClr val="accent2"/>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(Core)'!$B$7:$AC$7</c:f>
              <c:numCache>
                <c:formatCode>_-* #,##0_-;\-* #,##0_-;_-* "-"??_-;_-@_-</c:formatCode>
                <c:ptCount val="28"/>
                <c:pt idx="0">
                  <c:v>523.17210339807866</c:v>
                </c:pt>
                <c:pt idx="1">
                  <c:v>456.69425270360756</c:v>
                </c:pt>
                <c:pt idx="2">
                  <c:v>415.57007402468338</c:v>
                </c:pt>
                <c:pt idx="3">
                  <c:v>384.00154320722316</c:v>
                </c:pt>
                <c:pt idx="4">
                  <c:v>365.52230708019147</c:v>
                </c:pt>
                <c:pt idx="5">
                  <c:v>401.19922701415192</c:v>
                </c:pt>
                <c:pt idx="6">
                  <c:v>387.38807351254968</c:v>
                </c:pt>
                <c:pt idx="7">
                  <c:v>457.11297013147083</c:v>
                </c:pt>
                <c:pt idx="8">
                  <c:v>438.42090157326925</c:v>
                </c:pt>
                <c:pt idx="9">
                  <c:v>392.31276451730491</c:v>
                </c:pt>
                <c:pt idx="10">
                  <c:v>391.11039485878814</c:v>
                </c:pt>
                <c:pt idx="11">
                  <c:v>411.589539359897</c:v>
                </c:pt>
                <c:pt idx="12">
                  <c:v>384.73030079019583</c:v>
                </c:pt>
                <c:pt idx="13">
                  <c:v>396.59420307171723</c:v>
                </c:pt>
                <c:pt idx="14">
                  <c:v>422.52960144345252</c:v>
                </c:pt>
                <c:pt idx="15">
                  <c:v>414.7274487386286</c:v>
                </c:pt>
                <c:pt idx="16">
                  <c:v>453.31214018093556</c:v>
                </c:pt>
                <c:pt idx="17">
                  <c:v>455.26545017750112</c:v>
                </c:pt>
                <c:pt idx="18">
                  <c:v>427.97547281003392</c:v>
                </c:pt>
                <c:pt idx="19">
                  <c:v>404.62108354294173</c:v>
                </c:pt>
                <c:pt idx="20">
                  <c:v>414.40227066716466</c:v>
                </c:pt>
                <c:pt idx="21">
                  <c:v>403.25995930047088</c:v>
                </c:pt>
                <c:pt idx="22">
                  <c:v>426.69858020997663</c:v>
                </c:pt>
                <c:pt idx="23">
                  <c:v>429.91548284590891</c:v>
                </c:pt>
                <c:pt idx="24">
                  <c:v>436.38129907982795</c:v>
                </c:pt>
                <c:pt idx="25">
                  <c:v>447.82442410585821</c:v>
                </c:pt>
                <c:pt idx="26">
                  <c:v>462.67156787620792</c:v>
                </c:pt>
                <c:pt idx="27">
                  <c:v>463.00105772026399</c:v>
                </c:pt>
              </c:numCache>
            </c:numRef>
          </c:val>
          <c:smooth val="0"/>
          <c:extLst xmlns:c16r2="http://schemas.microsoft.com/office/drawing/2015/06/chart">
            <c:ext xmlns:c16="http://schemas.microsoft.com/office/drawing/2014/chart" uri="{C3380CC4-5D6E-409C-BE32-E72D297353CC}">
              <c16:uniqueId val="{00000001-0C3A-4D6F-B862-5251B5A2CDD5}"/>
            </c:ext>
          </c:extLst>
        </c:ser>
        <c:ser>
          <c:idx val="2"/>
          <c:order val="2"/>
          <c:tx>
            <c:strRef>
              <c:f>'Real per person (Core)'!$A$8</c:f>
              <c:strCache>
                <c:ptCount val="1"/>
                <c:pt idx="0">
                  <c:v> Education </c:v>
                </c:pt>
              </c:strCache>
            </c:strRef>
          </c:tx>
          <c:spPr>
            <a:ln w="28575" cap="rnd">
              <a:solidFill>
                <a:srgbClr val="FF0000"/>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(Core)'!$B$8:$AC$8</c:f>
              <c:numCache>
                <c:formatCode>_-* #,##0_-;\-* #,##0_-;_-* "-"??_-;_-@_-</c:formatCode>
                <c:ptCount val="28"/>
                <c:pt idx="0">
                  <c:v>2024.4485740186519</c:v>
                </c:pt>
                <c:pt idx="1">
                  <c:v>2014.4178334219182</c:v>
                </c:pt>
                <c:pt idx="2">
                  <c:v>1970.3682779274968</c:v>
                </c:pt>
                <c:pt idx="3">
                  <c:v>1959.1996261160282</c:v>
                </c:pt>
                <c:pt idx="4">
                  <c:v>2061.3758015568937</c:v>
                </c:pt>
                <c:pt idx="5">
                  <c:v>2152.5374489754595</c:v>
                </c:pt>
                <c:pt idx="6">
                  <c:v>2218.6429569422626</c:v>
                </c:pt>
                <c:pt idx="7">
                  <c:v>2313.0576114912437</c:v>
                </c:pt>
                <c:pt idx="8">
                  <c:v>2165.9828116373428</c:v>
                </c:pt>
                <c:pt idx="9">
                  <c:v>2185.4049266097372</c:v>
                </c:pt>
                <c:pt idx="10">
                  <c:v>2288.5992746699394</c:v>
                </c:pt>
                <c:pt idx="11">
                  <c:v>2381.3170526657655</c:v>
                </c:pt>
                <c:pt idx="12">
                  <c:v>2392.871596287257</c:v>
                </c:pt>
                <c:pt idx="13">
                  <c:v>2842.9753646081017</c:v>
                </c:pt>
                <c:pt idx="14">
                  <c:v>2581.6920736844831</c:v>
                </c:pt>
                <c:pt idx="15">
                  <c:v>2535.8910774024598</c:v>
                </c:pt>
                <c:pt idx="16">
                  <c:v>2955.4300317430943</c:v>
                </c:pt>
                <c:pt idx="17">
                  <c:v>2942.4102193390427</c:v>
                </c:pt>
                <c:pt idx="18">
                  <c:v>2756.1715081464317</c:v>
                </c:pt>
                <c:pt idx="19">
                  <c:v>2716.275407609126</c:v>
                </c:pt>
                <c:pt idx="20">
                  <c:v>2872.3314813870438</c:v>
                </c:pt>
                <c:pt idx="21">
                  <c:v>2738.8721697381511</c:v>
                </c:pt>
                <c:pt idx="22">
                  <c:v>2802.3717565141706</c:v>
                </c:pt>
                <c:pt idx="23">
                  <c:v>2792.1164478215546</c:v>
                </c:pt>
                <c:pt idx="24">
                  <c:v>2735.2559777374786</c:v>
                </c:pt>
                <c:pt idx="25">
                  <c:v>2727.3338932282504</c:v>
                </c:pt>
                <c:pt idx="26">
                  <c:v>2778.1289894547053</c:v>
                </c:pt>
                <c:pt idx="27">
                  <c:v>2786.1162374599958</c:v>
                </c:pt>
              </c:numCache>
            </c:numRef>
          </c:val>
          <c:smooth val="0"/>
          <c:extLst xmlns:c16r2="http://schemas.microsoft.com/office/drawing/2015/06/chart">
            <c:ext xmlns:c16="http://schemas.microsoft.com/office/drawing/2014/chart" uri="{C3380CC4-5D6E-409C-BE32-E72D297353CC}">
              <c16:uniqueId val="{00000002-0C3A-4D6F-B862-5251B5A2CDD5}"/>
            </c:ext>
          </c:extLst>
        </c:ser>
        <c:ser>
          <c:idx val="3"/>
          <c:order val="3"/>
          <c:tx>
            <c:strRef>
              <c:f>'Real per person (Core)'!$A$9</c:f>
              <c:strCache>
                <c:ptCount val="1"/>
                <c:pt idx="0">
                  <c:v> Finance costs </c:v>
                </c:pt>
              </c:strCache>
            </c:strRef>
          </c:tx>
          <c:spPr>
            <a:ln w="28575" cap="rnd">
              <a:solidFill>
                <a:srgbClr val="FF0000"/>
              </a:solidFill>
              <a:prstDash val="dash"/>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(Core)'!$B$9:$AC$9</c:f>
              <c:numCache>
                <c:formatCode>_-* #,##0_-;\-* #,##0_-;_-* "-"??_-;_-@_-</c:formatCode>
                <c:ptCount val="28"/>
                <c:pt idx="0">
                  <c:v>1766.6536245181494</c:v>
                </c:pt>
                <c:pt idx="1">
                  <c:v>1649.1495035665066</c:v>
                </c:pt>
                <c:pt idx="2">
                  <c:v>1541.2603831300446</c:v>
                </c:pt>
                <c:pt idx="3">
                  <c:v>1465.9357881405642</c:v>
                </c:pt>
                <c:pt idx="4">
                  <c:v>1186.9815299686557</c:v>
                </c:pt>
                <c:pt idx="5">
                  <c:v>1056.3029413593258</c:v>
                </c:pt>
                <c:pt idx="6">
                  <c:v>946.27999316269404</c:v>
                </c:pt>
                <c:pt idx="7">
                  <c:v>869.87095278426648</c:v>
                </c:pt>
                <c:pt idx="8">
                  <c:v>813.30254204896323</c:v>
                </c:pt>
                <c:pt idx="9">
                  <c:v>715.0761060651048</c:v>
                </c:pt>
                <c:pt idx="10">
                  <c:v>769.82529763698074</c:v>
                </c:pt>
                <c:pt idx="11">
                  <c:v>707.01727127268362</c:v>
                </c:pt>
                <c:pt idx="12">
                  <c:v>686.1778070563962</c:v>
                </c:pt>
                <c:pt idx="13">
                  <c:v>675.61528737307719</c:v>
                </c:pt>
                <c:pt idx="14">
                  <c:v>648.69574275662546</c:v>
                </c:pt>
                <c:pt idx="15">
                  <c:v>653.15590518375564</c:v>
                </c:pt>
                <c:pt idx="16">
                  <c:v>626.69048861667193</c:v>
                </c:pt>
                <c:pt idx="17">
                  <c:v>579.99914848963897</c:v>
                </c:pt>
                <c:pt idx="18">
                  <c:v>725.35809819544716</c:v>
                </c:pt>
                <c:pt idx="19">
                  <c:v>818.33215686593803</c:v>
                </c:pt>
                <c:pt idx="20">
                  <c:v>831.33138444815359</c:v>
                </c:pt>
                <c:pt idx="21">
                  <c:v>806.07457353269172</c:v>
                </c:pt>
                <c:pt idx="22">
                  <c:v>823.15182505575808</c:v>
                </c:pt>
                <c:pt idx="23">
                  <c:v>761.79495726397488</c:v>
                </c:pt>
                <c:pt idx="24">
                  <c:v>733.70951316702087</c:v>
                </c:pt>
                <c:pt idx="25">
                  <c:v>691.53435605736627</c:v>
                </c:pt>
                <c:pt idx="26">
                  <c:v>649.53438344997335</c:v>
                </c:pt>
                <c:pt idx="27">
                  <c:v>674.96412156513009</c:v>
                </c:pt>
              </c:numCache>
            </c:numRef>
          </c:val>
          <c:smooth val="0"/>
          <c:extLst xmlns:c16r2="http://schemas.microsoft.com/office/drawing/2015/06/chart">
            <c:ext xmlns:c16="http://schemas.microsoft.com/office/drawing/2014/chart" uri="{C3380CC4-5D6E-409C-BE32-E72D297353CC}">
              <c16:uniqueId val="{00000003-0C3A-4D6F-B862-5251B5A2CDD5}"/>
            </c:ext>
          </c:extLst>
        </c:ser>
        <c:ser>
          <c:idx val="4"/>
          <c:order val="4"/>
          <c:tx>
            <c:strRef>
              <c:f>'Real per person (Core)'!$A$10</c:f>
              <c:strCache>
                <c:ptCount val="1"/>
                <c:pt idx="0">
                  <c:v> Health </c:v>
                </c:pt>
              </c:strCache>
            </c:strRef>
          </c:tx>
          <c:spPr>
            <a:ln w="28575" cap="rnd">
              <a:solidFill>
                <a:schemeClr val="accent5"/>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(Core)'!$B$10:$AC$10</c:f>
              <c:numCache>
                <c:formatCode>_-* #,##0_-;\-* #,##0_-;_-* "-"??_-;_-@_-</c:formatCode>
                <c:ptCount val="28"/>
                <c:pt idx="0">
                  <c:v>1858.9781133531044</c:v>
                </c:pt>
                <c:pt idx="1">
                  <c:v>2003.5337949876093</c:v>
                </c:pt>
                <c:pt idx="2">
                  <c:v>2004.4179483559753</c:v>
                </c:pt>
                <c:pt idx="3">
                  <c:v>2069.6495545230541</c:v>
                </c:pt>
                <c:pt idx="4">
                  <c:v>2173.8144816418148</c:v>
                </c:pt>
                <c:pt idx="5">
                  <c:v>2260.6540481802126</c:v>
                </c:pt>
                <c:pt idx="6">
                  <c:v>2472.1376768912514</c:v>
                </c:pt>
                <c:pt idx="7">
                  <c:v>2519.8031729620939</c:v>
                </c:pt>
                <c:pt idx="8">
                  <c:v>2350.9526606102845</c:v>
                </c:pt>
                <c:pt idx="9">
                  <c:v>2374.1337005900932</c:v>
                </c:pt>
                <c:pt idx="10">
                  <c:v>2446.8048972775396</c:v>
                </c:pt>
                <c:pt idx="11">
                  <c:v>2546.4551897392257</c:v>
                </c:pt>
                <c:pt idx="12">
                  <c:v>2659.3161889129383</c:v>
                </c:pt>
                <c:pt idx="13">
                  <c:v>2737.733085123416</c:v>
                </c:pt>
                <c:pt idx="14">
                  <c:v>2884.1753612043176</c:v>
                </c:pt>
                <c:pt idx="15">
                  <c:v>2999.4724637645886</c:v>
                </c:pt>
                <c:pt idx="16">
                  <c:v>3190.9872224005758</c:v>
                </c:pt>
                <c:pt idx="17">
                  <c:v>3294.7766427399306</c:v>
                </c:pt>
                <c:pt idx="18">
                  <c:v>3253.7018670847965</c:v>
                </c:pt>
                <c:pt idx="19">
                  <c:v>3300.3655201428887</c:v>
                </c:pt>
                <c:pt idx="20">
                  <c:v>3330.3792240202624</c:v>
                </c:pt>
                <c:pt idx="21">
                  <c:v>3317.3754133950388</c:v>
                </c:pt>
                <c:pt idx="22">
                  <c:v>3276.5054670075615</c:v>
                </c:pt>
                <c:pt idx="23">
                  <c:v>3315.8239560464822</c:v>
                </c:pt>
                <c:pt idx="24">
                  <c:v>3298.0119922959075</c:v>
                </c:pt>
                <c:pt idx="25">
                  <c:v>3336.5097345075278</c:v>
                </c:pt>
                <c:pt idx="26">
                  <c:v>3381.4725645606022</c:v>
                </c:pt>
                <c:pt idx="27">
                  <c:v>3376.663764902562</c:v>
                </c:pt>
              </c:numCache>
            </c:numRef>
          </c:val>
          <c:smooth val="0"/>
          <c:extLst xmlns:c16r2="http://schemas.microsoft.com/office/drawing/2015/06/chart">
            <c:ext xmlns:c16="http://schemas.microsoft.com/office/drawing/2014/chart" uri="{C3380CC4-5D6E-409C-BE32-E72D297353CC}">
              <c16:uniqueId val="{00000004-0C3A-4D6F-B862-5251B5A2CDD5}"/>
            </c:ext>
          </c:extLst>
        </c:ser>
        <c:ser>
          <c:idx val="5"/>
          <c:order val="5"/>
          <c:tx>
            <c:strRef>
              <c:f>'Real per person (Core)'!$A$11</c:f>
              <c:strCache>
                <c:ptCount val="1"/>
                <c:pt idx="0">
                  <c:v> Law and order </c:v>
                </c:pt>
              </c:strCache>
            </c:strRef>
          </c:tx>
          <c:spPr>
            <a:ln w="28575" cap="rnd">
              <a:solidFill>
                <a:schemeClr val="accent6"/>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(Core)'!$B$11:$AC$11</c:f>
              <c:numCache>
                <c:formatCode>_-* #,##0_-;\-* #,##0_-;_-* "-"??_-;_-@_-</c:formatCode>
                <c:ptCount val="28"/>
                <c:pt idx="0">
                  <c:v>470.09667261856333</c:v>
                </c:pt>
                <c:pt idx="1">
                  <c:v>500.66576797821608</c:v>
                </c:pt>
                <c:pt idx="2">
                  <c:v>488.18202180589657</c:v>
                </c:pt>
                <c:pt idx="3">
                  <c:v>488.51330342032298</c:v>
                </c:pt>
                <c:pt idx="4">
                  <c:v>494.96202470372651</c:v>
                </c:pt>
                <c:pt idx="5">
                  <c:v>506.67883599439847</c:v>
                </c:pt>
                <c:pt idx="6">
                  <c:v>563.78128368476894</c:v>
                </c:pt>
                <c:pt idx="7">
                  <c:v>561.21889115579927</c:v>
                </c:pt>
                <c:pt idx="8">
                  <c:v>543.96667417424146</c:v>
                </c:pt>
                <c:pt idx="9">
                  <c:v>585.09296119491341</c:v>
                </c:pt>
                <c:pt idx="10">
                  <c:v>565.62587546717145</c:v>
                </c:pt>
                <c:pt idx="11">
                  <c:v>578.61138141898573</c:v>
                </c:pt>
                <c:pt idx="12">
                  <c:v>596.55827816644478</c:v>
                </c:pt>
                <c:pt idx="13">
                  <c:v>640.91687915060595</c:v>
                </c:pt>
                <c:pt idx="14">
                  <c:v>751.75174310868704</c:v>
                </c:pt>
                <c:pt idx="15">
                  <c:v>768.3874754478818</c:v>
                </c:pt>
                <c:pt idx="16">
                  <c:v>796.97279511605575</c:v>
                </c:pt>
                <c:pt idx="17">
                  <c:v>800.85559620529557</c:v>
                </c:pt>
                <c:pt idx="18">
                  <c:v>800.11777172113591</c:v>
                </c:pt>
                <c:pt idx="19">
                  <c:v>793.15987747501765</c:v>
                </c:pt>
                <c:pt idx="20">
                  <c:v>793.88816376148623</c:v>
                </c:pt>
                <c:pt idx="21">
                  <c:v>779.57654197181034</c:v>
                </c:pt>
                <c:pt idx="22">
                  <c:v>764.83707773486378</c:v>
                </c:pt>
                <c:pt idx="23">
                  <c:v>774.10250810556545</c:v>
                </c:pt>
                <c:pt idx="24">
                  <c:v>811.2111590673278</c:v>
                </c:pt>
                <c:pt idx="25">
                  <c:v>804.18338228028119</c:v>
                </c:pt>
                <c:pt idx="26">
                  <c:v>819.2187992263548</c:v>
                </c:pt>
                <c:pt idx="27">
                  <c:v>824.62847621037452</c:v>
                </c:pt>
              </c:numCache>
            </c:numRef>
          </c:val>
          <c:smooth val="0"/>
          <c:extLst xmlns:c16r2="http://schemas.microsoft.com/office/drawing/2015/06/chart">
            <c:ext xmlns:c16="http://schemas.microsoft.com/office/drawing/2014/chart" uri="{C3380CC4-5D6E-409C-BE32-E72D297353CC}">
              <c16:uniqueId val="{00000005-0C3A-4D6F-B862-5251B5A2CDD5}"/>
            </c:ext>
          </c:extLst>
        </c:ser>
        <c:ser>
          <c:idx val="6"/>
          <c:order val="6"/>
          <c:tx>
            <c:strRef>
              <c:f>'Real per person (Core)'!$A$12</c:f>
              <c:strCache>
                <c:ptCount val="1"/>
                <c:pt idx="0">
                  <c:v> Welfare </c:v>
                </c:pt>
              </c:strCache>
            </c:strRef>
          </c:tx>
          <c:spPr>
            <a:ln w="28575" cap="rnd">
              <a:solidFill>
                <a:srgbClr val="00B0F0"/>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(Core)'!$B$12:$AC$12</c:f>
              <c:numCache>
                <c:formatCode>_-* #,##0_-;\-* #,##0_-;_-* "-"??_-;_-@_-</c:formatCode>
                <c:ptCount val="28"/>
                <c:pt idx="0">
                  <c:v>3081.9210813418786</c:v>
                </c:pt>
                <c:pt idx="1">
                  <c:v>2840.7705779961238</c:v>
                </c:pt>
                <c:pt idx="2">
                  <c:v>2785.0783935208915</c:v>
                </c:pt>
                <c:pt idx="3">
                  <c:v>2858.2812209209037</c:v>
                </c:pt>
                <c:pt idx="4">
                  <c:v>2910.8420697638462</c:v>
                </c:pt>
                <c:pt idx="5">
                  <c:v>2788.8055188598751</c:v>
                </c:pt>
                <c:pt idx="6">
                  <c:v>2946.78209317556</c:v>
                </c:pt>
                <c:pt idx="7">
                  <c:v>2869.5110907691692</c:v>
                </c:pt>
                <c:pt idx="8">
                  <c:v>2800.6694308231222</c:v>
                </c:pt>
                <c:pt idx="9">
                  <c:v>2712.7651143687995</c:v>
                </c:pt>
                <c:pt idx="10">
                  <c:v>2696.0195275295109</c:v>
                </c:pt>
                <c:pt idx="11">
                  <c:v>2625.5707991356358</c:v>
                </c:pt>
                <c:pt idx="12">
                  <c:v>2594.7418482312892</c:v>
                </c:pt>
                <c:pt idx="13">
                  <c:v>2633.6378604560023</c:v>
                </c:pt>
                <c:pt idx="14">
                  <c:v>2773.599058123863</c:v>
                </c:pt>
                <c:pt idx="15">
                  <c:v>2795.5603762925871</c:v>
                </c:pt>
                <c:pt idx="16">
                  <c:v>3002.6446712724687</c:v>
                </c:pt>
                <c:pt idx="17">
                  <c:v>3236.2998787424899</c:v>
                </c:pt>
                <c:pt idx="18">
                  <c:v>3116.9579072814799</c:v>
                </c:pt>
                <c:pt idx="19">
                  <c:v>2900.4059698204878</c:v>
                </c:pt>
                <c:pt idx="20">
                  <c:v>2872.7909074077393</c:v>
                </c:pt>
                <c:pt idx="21">
                  <c:v>2754.0139020586548</c:v>
                </c:pt>
                <c:pt idx="22">
                  <c:v>2596.311809824294</c:v>
                </c:pt>
                <c:pt idx="23">
                  <c:v>2506.9207869405568</c:v>
                </c:pt>
                <c:pt idx="24">
                  <c:v>2527.903289233755</c:v>
                </c:pt>
                <c:pt idx="25">
                  <c:v>2504.6095443692361</c:v>
                </c:pt>
                <c:pt idx="26">
                  <c:v>2517.208183643329</c:v>
                </c:pt>
                <c:pt idx="27">
                  <c:v>2434.0732357698271</c:v>
                </c:pt>
              </c:numCache>
            </c:numRef>
          </c:val>
          <c:smooth val="0"/>
          <c:extLst xmlns:c16r2="http://schemas.microsoft.com/office/drawing/2015/06/chart">
            <c:ext xmlns:c16="http://schemas.microsoft.com/office/drawing/2014/chart" uri="{C3380CC4-5D6E-409C-BE32-E72D297353CC}">
              <c16:uniqueId val="{00000006-0C3A-4D6F-B862-5251B5A2CDD5}"/>
            </c:ext>
          </c:extLst>
        </c:ser>
        <c:ser>
          <c:idx val="7"/>
          <c:order val="7"/>
          <c:tx>
            <c:strRef>
              <c:f>'Real per person (Core)'!$A$13</c:f>
              <c:strCache>
                <c:ptCount val="1"/>
                <c:pt idx="0">
                  <c:v> NZ super </c:v>
                </c:pt>
              </c:strCache>
            </c:strRef>
          </c:tx>
          <c:spPr>
            <a:ln w="28575" cap="rnd">
              <a:solidFill>
                <a:schemeClr val="accent2">
                  <a:lumMod val="60000"/>
                </a:schemeClr>
              </a:solidFill>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(Core)'!$B$13:$AC$13</c:f>
              <c:numCache>
                <c:formatCode>_-* #,##0_-;\-* #,##0_-;_-* "-"??_-;_-@_-</c:formatCode>
                <c:ptCount val="28"/>
                <c:pt idx="0">
                  <c:v>2301.8900526037373</c:v>
                </c:pt>
                <c:pt idx="1">
                  <c:v>2156.7445095012176</c:v>
                </c:pt>
                <c:pt idx="2">
                  <c:v>2024.5401137499748</c:v>
                </c:pt>
                <c:pt idx="3">
                  <c:v>1987.2640253228185</c:v>
                </c:pt>
                <c:pt idx="4">
                  <c:v>1965.3646060839512</c:v>
                </c:pt>
                <c:pt idx="5">
                  <c:v>1923.4960123326384</c:v>
                </c:pt>
                <c:pt idx="6">
                  <c:v>1907.2280784292614</c:v>
                </c:pt>
                <c:pt idx="7">
                  <c:v>1857.7774920820323</c:v>
                </c:pt>
                <c:pt idx="8">
                  <c:v>1861.3473542639683</c:v>
                </c:pt>
                <c:pt idx="9">
                  <c:v>1840.0211416689431</c:v>
                </c:pt>
                <c:pt idx="10">
                  <c:v>1840.4043768084089</c:v>
                </c:pt>
                <c:pt idx="11">
                  <c:v>1848.856443394686</c:v>
                </c:pt>
                <c:pt idx="12">
                  <c:v>1835.5407213386361</c:v>
                </c:pt>
                <c:pt idx="13">
                  <c:v>1839.3023994952957</c:v>
                </c:pt>
                <c:pt idx="14">
                  <c:v>1896.7874659392955</c:v>
                </c:pt>
                <c:pt idx="15">
                  <c:v>1950.9713785732672</c:v>
                </c:pt>
                <c:pt idx="16">
                  <c:v>1997.9790629261042</c:v>
                </c:pt>
                <c:pt idx="17">
                  <c:v>2080.568126775901</c:v>
                </c:pt>
                <c:pt idx="18">
                  <c:v>2089.0123963032611</c:v>
                </c:pt>
                <c:pt idx="19">
                  <c:v>2233.8067192831527</c:v>
                </c:pt>
                <c:pt idx="20">
                  <c:v>2351.1126609082212</c:v>
                </c:pt>
                <c:pt idx="21">
                  <c:v>2430.0253649067026</c:v>
                </c:pt>
                <c:pt idx="22">
                  <c:v>2522.1128216286788</c:v>
                </c:pt>
                <c:pt idx="23">
                  <c:v>2603.047002996429</c:v>
                </c:pt>
                <c:pt idx="24">
                  <c:v>2667.3653538881331</c:v>
                </c:pt>
                <c:pt idx="25">
                  <c:v>2706.5462873347424</c:v>
                </c:pt>
                <c:pt idx="26">
                  <c:v>2740.3365099004604</c:v>
                </c:pt>
                <c:pt idx="27">
                  <c:v>2794.963391429173</c:v>
                </c:pt>
              </c:numCache>
            </c:numRef>
          </c:val>
          <c:smooth val="0"/>
          <c:extLst xmlns:c16r2="http://schemas.microsoft.com/office/drawing/2015/06/chart">
            <c:ext xmlns:c16="http://schemas.microsoft.com/office/drawing/2014/chart" uri="{C3380CC4-5D6E-409C-BE32-E72D297353CC}">
              <c16:uniqueId val="{00000007-0C3A-4D6F-B862-5251B5A2CDD5}"/>
            </c:ext>
          </c:extLst>
        </c:ser>
        <c:ser>
          <c:idx val="8"/>
          <c:order val="8"/>
          <c:tx>
            <c:strRef>
              <c:f>'Real per person (Core)'!$A$14</c:f>
              <c:strCache>
                <c:ptCount val="1"/>
                <c:pt idx="0">
                  <c:v> All other </c:v>
                </c:pt>
              </c:strCache>
            </c:strRef>
          </c:tx>
          <c:spPr>
            <a:ln w="28575" cap="rnd">
              <a:solidFill>
                <a:schemeClr val="tx1"/>
              </a:solidFill>
              <a:prstDash val="sysDash"/>
              <a:round/>
            </a:ln>
            <a:effectLst/>
          </c:spPr>
          <c:marker>
            <c:symbol val="none"/>
          </c:marker>
          <c:cat>
            <c:numRef>
              <c:f>'Real per person (Core)'!$B$2:$AC$2</c:f>
              <c:numCache>
                <c:formatCode>yyyy</c:formatCode>
                <c:ptCount val="28"/>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numCache>
            </c:numRef>
          </c:cat>
          <c:val>
            <c:numRef>
              <c:f>'Real per person (Core)'!$B$14:$AC$14</c:f>
              <c:numCache>
                <c:formatCode>_-* #,##0_-;\-* #,##0_-;_-* "-"??_-;_-@_-</c:formatCode>
                <c:ptCount val="28"/>
                <c:pt idx="0">
                  <c:v>1337.5900580484547</c:v>
                </c:pt>
                <c:pt idx="1">
                  <c:v>531.57643713165385</c:v>
                </c:pt>
                <c:pt idx="2">
                  <c:v>692.06980738365326</c:v>
                </c:pt>
                <c:pt idx="3">
                  <c:v>733.95758876926982</c:v>
                </c:pt>
                <c:pt idx="4">
                  <c:v>929.64764358873219</c:v>
                </c:pt>
                <c:pt idx="5">
                  <c:v>1209.6250872698986</c:v>
                </c:pt>
                <c:pt idx="6">
                  <c:v>1390.4599104620349</c:v>
                </c:pt>
                <c:pt idx="7">
                  <c:v>1184.0215665795115</c:v>
                </c:pt>
                <c:pt idx="8">
                  <c:v>1345.2673557936625</c:v>
                </c:pt>
                <c:pt idx="9">
                  <c:v>1494.6373567281489</c:v>
                </c:pt>
                <c:pt idx="10">
                  <c:v>1321.0984980634626</c:v>
                </c:pt>
                <c:pt idx="11">
                  <c:v>1392.9998368725117</c:v>
                </c:pt>
                <c:pt idx="12">
                  <c:v>1622.5057469403002</c:v>
                </c:pt>
                <c:pt idx="13">
                  <c:v>1657.4942109577191</c:v>
                </c:pt>
                <c:pt idx="14">
                  <c:v>1740.8108167577971</c:v>
                </c:pt>
                <c:pt idx="15">
                  <c:v>2120.1015865415811</c:v>
                </c:pt>
                <c:pt idx="16">
                  <c:v>2123.1107578536817</c:v>
                </c:pt>
                <c:pt idx="17">
                  <c:v>1928.9802922074277</c:v>
                </c:pt>
                <c:pt idx="18">
                  <c:v>2181.7522444743686</c:v>
                </c:pt>
                <c:pt idx="19">
                  <c:v>1667.8965863094993</c:v>
                </c:pt>
                <c:pt idx="20">
                  <c:v>1697.5791464691501</c:v>
                </c:pt>
                <c:pt idx="21">
                  <c:v>1682.0683227806499</c:v>
                </c:pt>
                <c:pt idx="22">
                  <c:v>1634.1184790295381</c:v>
                </c:pt>
                <c:pt idx="23">
                  <c:v>1633.5090754925011</c:v>
                </c:pt>
                <c:pt idx="24">
                  <c:v>1789.6949997875638</c:v>
                </c:pt>
                <c:pt idx="25">
                  <c:v>1771.104022126882</c:v>
                </c:pt>
                <c:pt idx="26">
                  <c:v>1724.9022107662117</c:v>
                </c:pt>
                <c:pt idx="27">
                  <c:v>1692.9397751435636</c:v>
                </c:pt>
              </c:numCache>
            </c:numRef>
          </c:val>
          <c:smooth val="0"/>
          <c:extLst xmlns:c16r2="http://schemas.microsoft.com/office/drawing/2015/06/chart">
            <c:ext xmlns:c16="http://schemas.microsoft.com/office/drawing/2014/chart" uri="{C3380CC4-5D6E-409C-BE32-E72D297353CC}">
              <c16:uniqueId val="{00000008-0C3A-4D6F-B862-5251B5A2CDD5}"/>
            </c:ext>
          </c:extLst>
        </c:ser>
        <c:dLbls>
          <c:showLegendKey val="0"/>
          <c:showVal val="0"/>
          <c:showCatName val="0"/>
          <c:showSerName val="0"/>
          <c:showPercent val="0"/>
          <c:showBubbleSize val="0"/>
        </c:dLbls>
        <c:smooth val="0"/>
        <c:axId val="191597384"/>
        <c:axId val="191596992"/>
      </c:lineChart>
      <c:dateAx>
        <c:axId val="191597384"/>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596992"/>
        <c:crosses val="autoZero"/>
        <c:auto val="0"/>
        <c:lblOffset val="100"/>
        <c:baseTimeUnit val="years"/>
        <c:majorUnit val="4"/>
        <c:majorTimeUnit val="years"/>
      </c:dateAx>
      <c:valAx>
        <c:axId val="191596992"/>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t>
                </a:r>
                <a:r>
                  <a:rPr lang="en-US" baseline="0"/>
                  <a:t> million</a:t>
                </a:r>
                <a:endParaRPr lang="en-US"/>
              </a:p>
            </c:rich>
          </c:tx>
          <c:layout>
            <c:manualLayout>
              <c:xMode val="edge"/>
              <c:yMode val="edge"/>
              <c:x val="0"/>
              <c:y val="0.3939636191309419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597384"/>
        <c:crosses val="autoZero"/>
        <c:crossBetween val="between"/>
      </c:valAx>
      <c:spPr>
        <a:noFill/>
        <a:ln>
          <a:noFill/>
        </a:ln>
        <a:effectLst/>
      </c:spPr>
    </c:plotArea>
    <c:legend>
      <c:legendPos val="b"/>
      <c:layout>
        <c:manualLayout>
          <c:xMode val="edge"/>
          <c:yMode val="edge"/>
          <c:x val="0.12502602799650042"/>
          <c:y val="9.9471420239136757E-2"/>
          <c:w val="0.87217016622922139"/>
          <c:h val="0.27089895013123361"/>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US"/>
              <a:t>Percentage</a:t>
            </a:r>
          </a:p>
        </c:rich>
      </c:tx>
      <c:layout/>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059295713035871"/>
          <c:y val="0.13912037037037034"/>
          <c:w val="0.78774037620297477"/>
          <c:h val="0.53878937007874028"/>
        </c:manualLayout>
      </c:layout>
      <c:barChart>
        <c:barDir val="col"/>
        <c:grouping val="stacked"/>
        <c:varyColors val="0"/>
        <c:ser>
          <c:idx val="0"/>
          <c:order val="0"/>
          <c:tx>
            <c:strRef>
              <c:f>'Real per person (Core)'!$A$54</c:f>
              <c:strCache>
                <c:ptCount val="1"/>
                <c:pt idx="0">
                  <c:v> Core govt services </c:v>
                </c:pt>
              </c:strCache>
            </c:strRef>
          </c:tx>
          <c:spPr>
            <a:solidFill>
              <a:schemeClr val="bg1">
                <a:lumMod val="85000"/>
              </a:schemeClr>
            </a:solidFill>
            <a:ln>
              <a:noFill/>
            </a:ln>
            <a:effectLst/>
          </c:spPr>
          <c:invertIfNegative val="0"/>
          <c:cat>
            <c:numRef>
              <c:f>'Real per person (Core)'!$B$32:$Y$32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(Core)'!$B$54:$Y$54</c:f>
              <c:numCache>
                <c:formatCode>0.0%</c:formatCode>
                <c:ptCount val="24"/>
                <c:pt idx="0">
                  <c:v>4.6581182983868388E-2</c:v>
                </c:pt>
                <c:pt idx="1">
                  <c:v>5.8132865481291533E-2</c:v>
                </c:pt>
                <c:pt idx="2">
                  <c:v>4.4078947368421051E-2</c:v>
                </c:pt>
                <c:pt idx="3">
                  <c:v>4.930220836089845E-2</c:v>
                </c:pt>
                <c:pt idx="4">
                  <c:v>5.0587199951446005E-2</c:v>
                </c:pt>
                <c:pt idx="5">
                  <c:v>4.5657829353132028E-2</c:v>
                </c:pt>
                <c:pt idx="6">
                  <c:v>4.7592463363572923E-2</c:v>
                </c:pt>
                <c:pt idx="7">
                  <c:v>4.7275441652152278E-2</c:v>
                </c:pt>
                <c:pt idx="8">
                  <c:v>4.8993160576582463E-2</c:v>
                </c:pt>
                <c:pt idx="9">
                  <c:v>4.0558335528048453E-2</c:v>
                </c:pt>
                <c:pt idx="10">
                  <c:v>5.3387472742311454E-2</c:v>
                </c:pt>
                <c:pt idx="11">
                  <c:v>4.9925982522324622E-2</c:v>
                </c:pt>
                <c:pt idx="12">
                  <c:v>5.7177859449827381E-2</c:v>
                </c:pt>
                <c:pt idx="13">
                  <c:v>5.0831305758313058E-2</c:v>
                </c:pt>
                <c:pt idx="14">
                  <c:v>8.9180230727922541E-2</c:v>
                </c:pt>
                <c:pt idx="15">
                  <c:v>5.9143463691071464E-2</c:v>
                </c:pt>
                <c:pt idx="16">
                  <c:v>8.2700540608105999E-2</c:v>
                </c:pt>
                <c:pt idx="17">
                  <c:v>4.6459312952056617E-2</c:v>
                </c:pt>
                <c:pt idx="18">
                  <c:v>7.8963804116394601E-2</c:v>
                </c:pt>
                <c:pt idx="19">
                  <c:v>7.8580114656320588E-2</c:v>
                </c:pt>
                <c:pt idx="20">
                  <c:v>6.1075868346940516E-2</c:v>
                </c:pt>
                <c:pt idx="21">
                  <c:v>6.299410916926694E-2</c:v>
                </c:pt>
                <c:pt idx="22">
                  <c:v>5.7128643091082461E-2</c:v>
                </c:pt>
                <c:pt idx="23">
                  <c:v>5.5485668682113916E-2</c:v>
                </c:pt>
              </c:numCache>
            </c:numRef>
          </c:val>
          <c:extLst xmlns:c16r2="http://schemas.microsoft.com/office/drawing/2015/06/chart">
            <c:ext xmlns:c16="http://schemas.microsoft.com/office/drawing/2014/chart" uri="{C3380CC4-5D6E-409C-BE32-E72D297353CC}">
              <c16:uniqueId val="{00000000-F4C3-4E24-929B-F8B99F5FBB47}"/>
            </c:ext>
          </c:extLst>
        </c:ser>
        <c:ser>
          <c:idx val="1"/>
          <c:order val="1"/>
          <c:tx>
            <c:strRef>
              <c:f>'Real per person (Core)'!$A$55</c:f>
              <c:strCache>
                <c:ptCount val="1"/>
                <c:pt idx="0">
                  <c:v> Defence </c:v>
                </c:pt>
              </c:strCache>
            </c:strRef>
          </c:tx>
          <c:spPr>
            <a:solidFill>
              <a:srgbClr val="00B0F0"/>
            </a:solidFill>
            <a:ln>
              <a:noFill/>
            </a:ln>
            <a:effectLst/>
          </c:spPr>
          <c:invertIfNegative val="0"/>
          <c:cat>
            <c:numRef>
              <c:f>'Real per person (Core)'!$B$32:$Y$32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(Core)'!$B$55:$Y$55</c:f>
              <c:numCache>
                <c:formatCode>0.0%</c:formatCode>
                <c:ptCount val="24"/>
                <c:pt idx="0">
                  <c:v>3.7322218333386364E-2</c:v>
                </c:pt>
                <c:pt idx="1">
                  <c:v>3.5392557103815919E-2</c:v>
                </c:pt>
                <c:pt idx="2">
                  <c:v>3.3322368421052628E-2</c:v>
                </c:pt>
                <c:pt idx="3">
                  <c:v>3.0557918281195855E-2</c:v>
                </c:pt>
                <c:pt idx="4">
                  <c:v>2.8707553181804391E-2</c:v>
                </c:pt>
                <c:pt idx="5">
                  <c:v>3.1130338195317287E-2</c:v>
                </c:pt>
                <c:pt idx="6">
                  <c:v>2.8750872295882759E-2</c:v>
                </c:pt>
                <c:pt idx="7">
                  <c:v>3.4475132011832686E-2</c:v>
                </c:pt>
                <c:pt idx="8">
                  <c:v>3.3842884002288888E-2</c:v>
                </c:pt>
                <c:pt idx="9">
                  <c:v>3.060310771661838E-2</c:v>
                </c:pt>
                <c:pt idx="10">
                  <c:v>3.0052384891094575E-2</c:v>
                </c:pt>
                <c:pt idx="11">
                  <c:v>3.1302230074972542E-2</c:v>
                </c:pt>
                <c:pt idx="12">
                  <c:v>2.8399599064483798E-2</c:v>
                </c:pt>
                <c:pt idx="13">
                  <c:v>2.8041362530413623E-2</c:v>
                </c:pt>
                <c:pt idx="14">
                  <c:v>2.8091031979704834E-2</c:v>
                </c:pt>
                <c:pt idx="15">
                  <c:v>2.7404951137779184E-2</c:v>
                </c:pt>
                <c:pt idx="16">
                  <c:v>2.745226711665261E-2</c:v>
                </c:pt>
                <c:pt idx="17">
                  <c:v>2.8337993845000232E-2</c:v>
                </c:pt>
                <c:pt idx="18">
                  <c:v>2.5677785663591197E-2</c:v>
                </c:pt>
                <c:pt idx="19">
                  <c:v>2.5131738954195383E-2</c:v>
                </c:pt>
                <c:pt idx="20">
                  <c:v>2.5659260945011805E-2</c:v>
                </c:pt>
                <c:pt idx="21">
                  <c:v>2.5340366882617153E-2</c:v>
                </c:pt>
                <c:pt idx="22">
                  <c:v>2.7099484543205786E-2</c:v>
                </c:pt>
                <c:pt idx="23">
                  <c:v>2.740467205021033E-2</c:v>
                </c:pt>
              </c:numCache>
            </c:numRef>
          </c:val>
          <c:extLst xmlns:c16r2="http://schemas.microsoft.com/office/drawing/2015/06/chart">
            <c:ext xmlns:c16="http://schemas.microsoft.com/office/drawing/2014/chart" uri="{C3380CC4-5D6E-409C-BE32-E72D297353CC}">
              <c16:uniqueId val="{00000001-F4C3-4E24-929B-F8B99F5FBB47}"/>
            </c:ext>
          </c:extLst>
        </c:ser>
        <c:ser>
          <c:idx val="2"/>
          <c:order val="2"/>
          <c:tx>
            <c:strRef>
              <c:f>'Real per person (Core)'!$A$56</c:f>
              <c:strCache>
                <c:ptCount val="1"/>
                <c:pt idx="0">
                  <c:v> Education </c:v>
                </c:pt>
              </c:strCache>
            </c:strRef>
          </c:tx>
          <c:spPr>
            <a:solidFill>
              <a:schemeClr val="tx1">
                <a:lumMod val="95000"/>
                <a:lumOff val="5000"/>
              </a:schemeClr>
            </a:solidFill>
            <a:ln>
              <a:noFill/>
            </a:ln>
            <a:effectLst/>
          </c:spPr>
          <c:invertIfNegative val="0"/>
          <c:cat>
            <c:numRef>
              <c:f>'Real per person (Core)'!$B$32:$Y$32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(Core)'!$B$56:$Y$56</c:f>
              <c:numCache>
                <c:formatCode>0.0%</c:formatCode>
                <c:ptCount val="24"/>
                <c:pt idx="0">
                  <c:v>0.14442075789875589</c:v>
                </c:pt>
                <c:pt idx="1">
                  <c:v>0.15611187961807077</c:v>
                </c:pt>
                <c:pt idx="2">
                  <c:v>0.15799342105263159</c:v>
                </c:pt>
                <c:pt idx="3">
                  <c:v>0.15590838925117348</c:v>
                </c:pt>
                <c:pt idx="4">
                  <c:v>0.16189724759505963</c:v>
                </c:pt>
                <c:pt idx="5">
                  <c:v>0.16702230276811553</c:v>
                </c:pt>
                <c:pt idx="6">
                  <c:v>0.16466154919748777</c:v>
                </c:pt>
                <c:pt idx="7">
                  <c:v>0.17444914434215253</c:v>
                </c:pt>
                <c:pt idx="8">
                  <c:v>0.16719801629472189</c:v>
                </c:pt>
                <c:pt idx="9">
                  <c:v>0.17047669212536209</c:v>
                </c:pt>
                <c:pt idx="10">
                  <c:v>0.17585282101411137</c:v>
                </c:pt>
                <c:pt idx="11">
                  <c:v>0.18110405424764814</c:v>
                </c:pt>
                <c:pt idx="12">
                  <c:v>0.17663436908341687</c:v>
                </c:pt>
                <c:pt idx="13">
                  <c:v>0.20101378751013788</c:v>
                </c:pt>
                <c:pt idx="14">
                  <c:v>0.17163861266966651</c:v>
                </c:pt>
                <c:pt idx="15">
                  <c:v>0.16757022299419272</c:v>
                </c:pt>
                <c:pt idx="16">
                  <c:v>0.17897878191306524</c:v>
                </c:pt>
                <c:pt idx="17">
                  <c:v>0.18315029759580084</c:v>
                </c:pt>
                <c:pt idx="18">
                  <c:v>0.16536550745209369</c:v>
                </c:pt>
                <c:pt idx="19">
                  <c:v>0.16871272221900516</c:v>
                </c:pt>
                <c:pt idx="20">
                  <c:v>0.17785110801354082</c:v>
                </c:pt>
                <c:pt idx="21">
                  <c:v>0.17210740621545606</c:v>
                </c:pt>
                <c:pt idx="22">
                  <c:v>0.17797769578375688</c:v>
                </c:pt>
                <c:pt idx="23">
                  <c:v>0.17798157691839467</c:v>
                </c:pt>
              </c:numCache>
            </c:numRef>
          </c:val>
          <c:extLst xmlns:c16r2="http://schemas.microsoft.com/office/drawing/2015/06/chart">
            <c:ext xmlns:c16="http://schemas.microsoft.com/office/drawing/2014/chart" uri="{C3380CC4-5D6E-409C-BE32-E72D297353CC}">
              <c16:uniqueId val="{00000002-F4C3-4E24-929B-F8B99F5FBB47}"/>
            </c:ext>
          </c:extLst>
        </c:ser>
        <c:ser>
          <c:idx val="3"/>
          <c:order val="3"/>
          <c:tx>
            <c:strRef>
              <c:f>'Real per person (Core)'!$A$57</c:f>
              <c:strCache>
                <c:ptCount val="1"/>
                <c:pt idx="0">
                  <c:v> Finance costs </c:v>
                </c:pt>
              </c:strCache>
            </c:strRef>
          </c:tx>
          <c:spPr>
            <a:solidFill>
              <a:srgbClr val="FF0000"/>
            </a:solidFill>
            <a:ln>
              <a:noFill/>
            </a:ln>
            <a:effectLst/>
          </c:spPr>
          <c:invertIfNegative val="0"/>
          <c:cat>
            <c:numRef>
              <c:f>'Real per person (Core)'!$B$32:$Y$32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(Core)'!$B$57:$Y$57</c:f>
              <c:numCache>
                <c:formatCode>0.0%</c:formatCode>
                <c:ptCount val="24"/>
                <c:pt idx="0">
                  <c:v>0.12603009958955105</c:v>
                </c:pt>
                <c:pt idx="1">
                  <c:v>0.12780458180100543</c:v>
                </c:pt>
                <c:pt idx="2">
                  <c:v>0.12358552631578945</c:v>
                </c:pt>
                <c:pt idx="3">
                  <c:v>0.1166556406136786</c:v>
                </c:pt>
                <c:pt idx="4">
                  <c:v>9.3223682214062464E-2</c:v>
                </c:pt>
                <c:pt idx="5">
                  <c:v>8.1961942065417542E-2</c:v>
                </c:pt>
                <c:pt idx="6">
                  <c:v>7.0230286113049531E-2</c:v>
                </c:pt>
                <c:pt idx="7">
                  <c:v>6.5605042713776221E-2</c:v>
                </c:pt>
                <c:pt idx="8">
                  <c:v>6.2781002207144609E-2</c:v>
                </c:pt>
                <c:pt idx="9">
                  <c:v>5.5780879641822483E-2</c:v>
                </c:pt>
                <c:pt idx="10">
                  <c:v>5.9152317216833346E-2</c:v>
                </c:pt>
                <c:pt idx="11">
                  <c:v>5.3770116040303718E-2</c:v>
                </c:pt>
                <c:pt idx="12">
                  <c:v>5.065152021383227E-2</c:v>
                </c:pt>
                <c:pt idx="13">
                  <c:v>4.7769667477696676E-2</c:v>
                </c:pt>
                <c:pt idx="14">
                  <c:v>4.3127233672203398E-2</c:v>
                </c:pt>
                <c:pt idx="15">
                  <c:v>4.3160166324543399E-2</c:v>
                </c:pt>
                <c:pt idx="16">
                  <c:v>3.7951939001906194E-2</c:v>
                </c:pt>
                <c:pt idx="17">
                  <c:v>3.6102041772764909E-2</c:v>
                </c:pt>
                <c:pt idx="18">
                  <c:v>4.3520227111426543E-2</c:v>
                </c:pt>
                <c:pt idx="19">
                  <c:v>5.0828073426370954E-2</c:v>
                </c:pt>
                <c:pt idx="20">
                  <c:v>5.1474980798224913E-2</c:v>
                </c:pt>
                <c:pt idx="21">
                  <c:v>5.0652748821134234E-2</c:v>
                </c:pt>
                <c:pt idx="22">
                  <c:v>5.2278097922971688E-2</c:v>
                </c:pt>
                <c:pt idx="23">
                  <c:v>4.8560104965575078E-2</c:v>
                </c:pt>
              </c:numCache>
            </c:numRef>
          </c:val>
          <c:extLst xmlns:c16r2="http://schemas.microsoft.com/office/drawing/2015/06/chart">
            <c:ext xmlns:c16="http://schemas.microsoft.com/office/drawing/2014/chart" uri="{C3380CC4-5D6E-409C-BE32-E72D297353CC}">
              <c16:uniqueId val="{00000003-F4C3-4E24-929B-F8B99F5FBB47}"/>
            </c:ext>
          </c:extLst>
        </c:ser>
        <c:ser>
          <c:idx val="4"/>
          <c:order val="4"/>
          <c:tx>
            <c:strRef>
              <c:f>'Real per person (Core)'!$A$58</c:f>
              <c:strCache>
                <c:ptCount val="1"/>
                <c:pt idx="0">
                  <c:v> Health </c:v>
                </c:pt>
              </c:strCache>
            </c:strRef>
          </c:tx>
          <c:spPr>
            <a:solidFill>
              <a:srgbClr val="92D050"/>
            </a:solidFill>
            <a:ln>
              <a:noFill/>
            </a:ln>
            <a:effectLst/>
          </c:spPr>
          <c:invertIfNegative val="0"/>
          <c:cat>
            <c:numRef>
              <c:f>'Real per person (Core)'!$B$32:$Y$32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(Core)'!$B$58:$Y$58</c:f>
              <c:numCache>
                <c:formatCode>0.0%</c:formatCode>
                <c:ptCount val="24"/>
                <c:pt idx="0">
                  <c:v>0.13261637341308979</c:v>
                </c:pt>
                <c:pt idx="1">
                  <c:v>0.15526839636964809</c:v>
                </c:pt>
                <c:pt idx="2">
                  <c:v>0.1607236842105263</c:v>
                </c:pt>
                <c:pt idx="3">
                  <c:v>0.16469772863308446</c:v>
                </c:pt>
                <c:pt idx="4">
                  <c:v>0.17072800655479015</c:v>
                </c:pt>
                <c:pt idx="5">
                  <c:v>0.17541141738037475</c:v>
                </c:pt>
                <c:pt idx="6">
                  <c:v>0.18347522679692949</c:v>
                </c:pt>
                <c:pt idx="7">
                  <c:v>0.19004174615023087</c:v>
                </c:pt>
                <c:pt idx="8">
                  <c:v>0.1814763345050274</c:v>
                </c:pt>
                <c:pt idx="9">
                  <c:v>0.18519884119041349</c:v>
                </c:pt>
                <c:pt idx="10">
                  <c:v>0.18800912349299451</c:v>
                </c:pt>
                <c:pt idx="11">
                  <c:v>0.19366314884675995</c:v>
                </c:pt>
                <c:pt idx="12">
                  <c:v>0.19630248357278096</c:v>
                </c:pt>
                <c:pt idx="13">
                  <c:v>0.19357258718572587</c:v>
                </c:pt>
                <c:pt idx="14">
                  <c:v>0.19174860655889486</c:v>
                </c:pt>
                <c:pt idx="15">
                  <c:v>0.19820341421478327</c:v>
                </c:pt>
                <c:pt idx="16">
                  <c:v>0.19324396112621484</c:v>
                </c:pt>
                <c:pt idx="17">
                  <c:v>0.2050833424460656</c:v>
                </c:pt>
                <c:pt idx="18">
                  <c:v>0.19521646557842443</c:v>
                </c:pt>
                <c:pt idx="19">
                  <c:v>0.20499160345127107</c:v>
                </c:pt>
                <c:pt idx="20">
                  <c:v>0.20621284100930221</c:v>
                </c:pt>
                <c:pt idx="21">
                  <c:v>0.20845984860145242</c:v>
                </c:pt>
                <c:pt idx="22">
                  <c:v>0.20808976963365258</c:v>
                </c:pt>
                <c:pt idx="23">
                  <c:v>0.21136495827077328</c:v>
                </c:pt>
              </c:numCache>
            </c:numRef>
          </c:val>
          <c:extLst xmlns:c16r2="http://schemas.microsoft.com/office/drawing/2015/06/chart">
            <c:ext xmlns:c16="http://schemas.microsoft.com/office/drawing/2014/chart" uri="{C3380CC4-5D6E-409C-BE32-E72D297353CC}">
              <c16:uniqueId val="{00000004-F4C3-4E24-929B-F8B99F5FBB47}"/>
            </c:ext>
          </c:extLst>
        </c:ser>
        <c:ser>
          <c:idx val="5"/>
          <c:order val="5"/>
          <c:tx>
            <c:strRef>
              <c:f>'Real per person (Core)'!$A$59</c:f>
              <c:strCache>
                <c:ptCount val="1"/>
                <c:pt idx="0">
                  <c:v> Law and order </c:v>
                </c:pt>
              </c:strCache>
            </c:strRef>
          </c:tx>
          <c:spPr>
            <a:solidFill>
              <a:schemeClr val="accent2">
                <a:lumMod val="60000"/>
                <a:lumOff val="40000"/>
              </a:schemeClr>
            </a:solidFill>
            <a:ln>
              <a:noFill/>
            </a:ln>
            <a:effectLst/>
          </c:spPr>
          <c:invertIfNegative val="0"/>
          <c:cat>
            <c:numRef>
              <c:f>'Real per person (Core)'!$B$32:$Y$32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(Core)'!$B$59:$Y$59</c:f>
              <c:numCache>
                <c:formatCode>0.0%</c:formatCode>
                <c:ptCount val="24"/>
                <c:pt idx="0">
                  <c:v>3.3535906328550052E-2</c:v>
                </c:pt>
                <c:pt idx="1">
                  <c:v>3.8800229427443565E-2</c:v>
                </c:pt>
                <c:pt idx="2">
                  <c:v>3.914473684210526E-2</c:v>
                </c:pt>
                <c:pt idx="3">
                  <c:v>3.8874712535047089E-2</c:v>
                </c:pt>
                <c:pt idx="4">
                  <c:v>3.8873547173246752E-2</c:v>
                </c:pt>
                <c:pt idx="5">
                  <c:v>3.9314840256057991E-2</c:v>
                </c:pt>
                <c:pt idx="6">
                  <c:v>4.1842288904396369E-2</c:v>
                </c:pt>
                <c:pt idx="7">
                  <c:v>4.2326725830084864E-2</c:v>
                </c:pt>
                <c:pt idx="8">
                  <c:v>4.1990244965802878E-2</c:v>
                </c:pt>
                <c:pt idx="9">
                  <c:v>4.5641295759810373E-2</c:v>
                </c:pt>
                <c:pt idx="10">
                  <c:v>4.346191442965637E-2</c:v>
                </c:pt>
                <c:pt idx="11">
                  <c:v>4.4004584308294743E-2</c:v>
                </c:pt>
                <c:pt idx="12">
                  <c:v>4.4036084196458401E-2</c:v>
                </c:pt>
                <c:pt idx="13">
                  <c:v>4.5316301703163017E-2</c:v>
                </c:pt>
                <c:pt idx="14">
                  <c:v>4.9978704886765556E-2</c:v>
                </c:pt>
                <c:pt idx="15">
                  <c:v>5.0774602172044159E-2</c:v>
                </c:pt>
                <c:pt idx="16">
                  <c:v>4.8264116746351678E-2</c:v>
                </c:pt>
                <c:pt idx="17">
                  <c:v>4.9849249371221468E-2</c:v>
                </c:pt>
                <c:pt idx="18">
                  <c:v>4.8005677785663593E-2</c:v>
                </c:pt>
                <c:pt idx="19">
                  <c:v>4.9264578145810416E-2</c:v>
                </c:pt>
                <c:pt idx="20">
                  <c:v>4.915654424942395E-2</c:v>
                </c:pt>
                <c:pt idx="21">
                  <c:v>4.8987644647179814E-2</c:v>
                </c:pt>
                <c:pt idx="22">
                  <c:v>4.8574547766123577E-2</c:v>
                </c:pt>
                <c:pt idx="23">
                  <c:v>4.9344641480339235E-2</c:v>
                </c:pt>
              </c:numCache>
            </c:numRef>
          </c:val>
          <c:extLst xmlns:c16r2="http://schemas.microsoft.com/office/drawing/2015/06/chart">
            <c:ext xmlns:c16="http://schemas.microsoft.com/office/drawing/2014/chart" uri="{C3380CC4-5D6E-409C-BE32-E72D297353CC}">
              <c16:uniqueId val="{00000005-F4C3-4E24-929B-F8B99F5FBB47}"/>
            </c:ext>
          </c:extLst>
        </c:ser>
        <c:ser>
          <c:idx val="6"/>
          <c:order val="6"/>
          <c:tx>
            <c:strRef>
              <c:f>'Real per person (Core)'!$A$60</c:f>
              <c:strCache>
                <c:ptCount val="1"/>
                <c:pt idx="0">
                  <c:v> Welfare </c:v>
                </c:pt>
              </c:strCache>
            </c:strRef>
          </c:tx>
          <c:spPr>
            <a:solidFill>
              <a:srgbClr val="0070C0"/>
            </a:solidFill>
            <a:ln>
              <a:noFill/>
            </a:ln>
            <a:effectLst/>
          </c:spPr>
          <c:invertIfNegative val="0"/>
          <c:cat>
            <c:numRef>
              <c:f>'Real per person (Core)'!$B$32:$Y$32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(Core)'!$B$60:$Y$60</c:f>
              <c:numCache>
                <c:formatCode>0.0%</c:formatCode>
                <c:ptCount val="24"/>
                <c:pt idx="0">
                  <c:v>0.21985906881695216</c:v>
                </c:pt>
                <c:pt idx="1">
                  <c:v>0.22015196010320573</c:v>
                </c:pt>
                <c:pt idx="2">
                  <c:v>0.22332072040611911</c:v>
                </c:pt>
                <c:pt idx="3">
                  <c:v>0.2274551379249112</c:v>
                </c:pt>
                <c:pt idx="4">
                  <c:v>0.22861300638279888</c:v>
                </c:pt>
                <c:pt idx="5">
                  <c:v>0.21639238841308348</c:v>
                </c:pt>
                <c:pt idx="6">
                  <c:v>0.21870202372644798</c:v>
                </c:pt>
                <c:pt idx="7">
                  <c:v>0.21641646622985267</c:v>
                </c:pt>
                <c:pt idx="8">
                  <c:v>0.21619117687130437</c:v>
                </c:pt>
                <c:pt idx="9">
                  <c:v>0.21161443244666842</c:v>
                </c:pt>
                <c:pt idx="10">
                  <c:v>0.20715843296488459</c:v>
                </c:pt>
                <c:pt idx="11">
                  <c:v>0.19968005348359674</c:v>
                </c:pt>
                <c:pt idx="12">
                  <c:v>0.19153580576901658</c:v>
                </c:pt>
                <c:pt idx="13">
                  <c:v>0.18621248986212491</c:v>
                </c:pt>
                <c:pt idx="14">
                  <c:v>0.18439716312056742</c:v>
                </c:pt>
                <c:pt idx="15">
                  <c:v>0.18472902082565754</c:v>
                </c:pt>
                <c:pt idx="16">
                  <c:v>0.18183806756038873</c:v>
                </c:pt>
                <c:pt idx="17">
                  <c:v>0.20144345679783793</c:v>
                </c:pt>
                <c:pt idx="18">
                  <c:v>0.18701206529453512</c:v>
                </c:pt>
                <c:pt idx="19">
                  <c:v>0.18014940066014248</c:v>
                </c:pt>
                <c:pt idx="20">
                  <c:v>0.17787955508775924</c:v>
                </c:pt>
                <c:pt idx="21">
                  <c:v>0.1730588943148586</c:v>
                </c:pt>
                <c:pt idx="22">
                  <c:v>0.16489089728176001</c:v>
                </c:pt>
                <c:pt idx="23">
                  <c:v>0.15980197216248021</c:v>
                </c:pt>
              </c:numCache>
            </c:numRef>
          </c:val>
          <c:extLst xmlns:c16r2="http://schemas.microsoft.com/office/drawing/2015/06/chart">
            <c:ext xmlns:c16="http://schemas.microsoft.com/office/drawing/2014/chart" uri="{C3380CC4-5D6E-409C-BE32-E72D297353CC}">
              <c16:uniqueId val="{00000006-F4C3-4E24-929B-F8B99F5FBB47}"/>
            </c:ext>
          </c:extLst>
        </c:ser>
        <c:ser>
          <c:idx val="7"/>
          <c:order val="7"/>
          <c:tx>
            <c:strRef>
              <c:f>'Real per person (Core)'!$A$61</c:f>
              <c:strCache>
                <c:ptCount val="1"/>
                <c:pt idx="0">
                  <c:v> NZ super </c:v>
                </c:pt>
              </c:strCache>
            </c:strRef>
          </c:tx>
          <c:spPr>
            <a:solidFill>
              <a:schemeClr val="accent1">
                <a:lumMod val="20000"/>
                <a:lumOff val="80000"/>
              </a:schemeClr>
            </a:solidFill>
            <a:ln>
              <a:noFill/>
            </a:ln>
            <a:effectLst/>
          </c:spPr>
          <c:invertIfNegative val="0"/>
          <c:cat>
            <c:numRef>
              <c:f>'Real per person (Core)'!$B$32:$Y$32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(Core)'!$B$61:$Y$61</c:f>
              <c:numCache>
                <c:formatCode>0.0%</c:formatCode>
                <c:ptCount val="24"/>
                <c:pt idx="0">
                  <c:v>0.16421296656438356</c:v>
                </c:pt>
                <c:pt idx="1">
                  <c:v>0.16714180824255492</c:v>
                </c:pt>
                <c:pt idx="2">
                  <c:v>0.16233717433072295</c:v>
                </c:pt>
                <c:pt idx="3">
                  <c:v>0.15814168657182817</c:v>
                </c:pt>
                <c:pt idx="4">
                  <c:v>0.15435667771273115</c:v>
                </c:pt>
                <c:pt idx="5">
                  <c:v>0.14925024115050714</c:v>
                </c:pt>
                <c:pt idx="6">
                  <c:v>0.14154919748778783</c:v>
                </c:pt>
                <c:pt idx="7">
                  <c:v>0.14011224461585248</c:v>
                </c:pt>
                <c:pt idx="8">
                  <c:v>0.14368238916591733</c:v>
                </c:pt>
                <c:pt idx="9">
                  <c:v>0.14353436923887278</c:v>
                </c:pt>
                <c:pt idx="10">
                  <c:v>0.14141414141414141</c:v>
                </c:pt>
                <c:pt idx="11">
                  <c:v>0.14060933097750825</c:v>
                </c:pt>
                <c:pt idx="12">
                  <c:v>0.13549393028176857</c:v>
                </c:pt>
                <c:pt idx="13">
                  <c:v>0.1300486618004866</c:v>
                </c:pt>
                <c:pt idx="14">
                  <c:v>0.12610410532748181</c:v>
                </c:pt>
                <c:pt idx="15">
                  <c:v>0.12891906591574998</c:v>
                </c:pt>
                <c:pt idx="16">
                  <c:v>0.12099621886816038</c:v>
                </c:pt>
                <c:pt idx="17">
                  <c:v>0.12950494430818738</c:v>
                </c:pt>
                <c:pt idx="18">
                  <c:v>0.12533711852377571</c:v>
                </c:pt>
                <c:pt idx="19">
                  <c:v>0.13874572934159476</c:v>
                </c:pt>
                <c:pt idx="20">
                  <c:v>0.14557790231274717</c:v>
                </c:pt>
                <c:pt idx="21">
                  <c:v>0.15269984748205465</c:v>
                </c:pt>
                <c:pt idx="22">
                  <c:v>0.16017854428368089</c:v>
                </c:pt>
                <c:pt idx="23">
                  <c:v>0.16592947287262103</c:v>
                </c:pt>
              </c:numCache>
            </c:numRef>
          </c:val>
          <c:extLst xmlns:c16r2="http://schemas.microsoft.com/office/drawing/2015/06/chart">
            <c:ext xmlns:c16="http://schemas.microsoft.com/office/drawing/2014/chart" uri="{C3380CC4-5D6E-409C-BE32-E72D297353CC}">
              <c16:uniqueId val="{00000007-F4C3-4E24-929B-F8B99F5FBB47}"/>
            </c:ext>
          </c:extLst>
        </c:ser>
        <c:ser>
          <c:idx val="8"/>
          <c:order val="8"/>
          <c:tx>
            <c:strRef>
              <c:f>'Real per person (Core)'!$A$62</c:f>
              <c:strCache>
                <c:ptCount val="1"/>
                <c:pt idx="0">
                  <c:v> All other </c:v>
                </c:pt>
              </c:strCache>
            </c:strRef>
          </c:tx>
          <c:spPr>
            <a:solidFill>
              <a:schemeClr val="accent5">
                <a:lumMod val="75000"/>
              </a:schemeClr>
            </a:solidFill>
            <a:ln>
              <a:noFill/>
            </a:ln>
            <a:effectLst/>
          </c:spPr>
          <c:invertIfNegative val="0"/>
          <c:cat>
            <c:numRef>
              <c:f>'Real per person (Core)'!$B$32:$Y$32</c:f>
              <c:numCache>
                <c:formatCode>yyyy</c:formatCode>
                <c:ptCount val="24"/>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numCache>
            </c:numRef>
          </c:cat>
          <c:val>
            <c:numRef>
              <c:f>'Real per person (Core)'!$B$62:$Y$62</c:f>
              <c:numCache>
                <c:formatCode>0.0%</c:formatCode>
                <c:ptCount val="24"/>
                <c:pt idx="0">
                  <c:v>9.5421426071462631E-2</c:v>
                </c:pt>
                <c:pt idx="1">
                  <c:v>4.1195721852963996E-2</c:v>
                </c:pt>
                <c:pt idx="2">
                  <c:v>5.5493421052631567E-2</c:v>
                </c:pt>
                <c:pt idx="3">
                  <c:v>5.8406577828182586E-2</c:v>
                </c:pt>
                <c:pt idx="4">
                  <c:v>7.301307923406064E-2</c:v>
                </c:pt>
                <c:pt idx="5">
                  <c:v>9.3858700417994212E-2</c:v>
                </c:pt>
                <c:pt idx="6">
                  <c:v>0.10319609211444519</c:v>
                </c:pt>
                <c:pt idx="7">
                  <c:v>8.9298056454065411E-2</c:v>
                </c:pt>
                <c:pt idx="8">
                  <c:v>0.1038447914112101</c:v>
                </c:pt>
                <c:pt idx="9">
                  <c:v>0.11659204635238347</c:v>
                </c:pt>
                <c:pt idx="10">
                  <c:v>0.10151139183397247</c:v>
                </c:pt>
                <c:pt idx="11">
                  <c:v>0.10594049949859126</c:v>
                </c:pt>
                <c:pt idx="12">
                  <c:v>0.1197683483684152</c:v>
                </c:pt>
                <c:pt idx="13">
                  <c:v>0.11719383617193836</c:v>
                </c:pt>
                <c:pt idx="14">
                  <c:v>0.11573431105679316</c:v>
                </c:pt>
                <c:pt idx="15">
                  <c:v>0.1400950927241785</c:v>
                </c:pt>
                <c:pt idx="16">
                  <c:v>0.12857410705915442</c:v>
                </c:pt>
                <c:pt idx="17">
                  <c:v>0.12006936091106493</c:v>
                </c:pt>
                <c:pt idx="18">
                  <c:v>0.1309013484740951</c:v>
                </c:pt>
                <c:pt idx="19">
                  <c:v>0.10359603914528924</c:v>
                </c:pt>
                <c:pt idx="20">
                  <c:v>0.10511193923704946</c:v>
                </c:pt>
                <c:pt idx="21">
                  <c:v>0.10569913386598011</c:v>
                </c:pt>
                <c:pt idx="22">
                  <c:v>0.10378231969376615</c:v>
                </c:pt>
                <c:pt idx="23">
                  <c:v>0.10412693259749219</c:v>
                </c:pt>
              </c:numCache>
            </c:numRef>
          </c:val>
          <c:extLst xmlns:c16r2="http://schemas.microsoft.com/office/drawing/2015/06/chart">
            <c:ext xmlns:c16="http://schemas.microsoft.com/office/drawing/2014/chart" uri="{C3380CC4-5D6E-409C-BE32-E72D297353CC}">
              <c16:uniqueId val="{00000008-F4C3-4E24-929B-F8B99F5FBB47}"/>
            </c:ext>
          </c:extLst>
        </c:ser>
        <c:dLbls>
          <c:showLegendKey val="0"/>
          <c:showVal val="0"/>
          <c:showCatName val="0"/>
          <c:showSerName val="0"/>
          <c:showPercent val="0"/>
          <c:showBubbleSize val="0"/>
        </c:dLbls>
        <c:gapWidth val="0"/>
        <c:overlap val="100"/>
        <c:axId val="250670600"/>
        <c:axId val="250670992"/>
      </c:barChart>
      <c:dateAx>
        <c:axId val="250670600"/>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0670992"/>
        <c:crosses val="autoZero"/>
        <c:auto val="0"/>
        <c:lblOffset val="100"/>
        <c:baseTimeUnit val="years"/>
        <c:majorUnit val="4"/>
        <c:majorTimeUnit val="years"/>
      </c:dateAx>
      <c:valAx>
        <c:axId val="25067099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0670600"/>
        <c:crosses val="autoZero"/>
        <c:crossBetween val="between"/>
      </c:valAx>
      <c:spPr>
        <a:noFill/>
        <a:ln>
          <a:noFill/>
        </a:ln>
        <a:effectLst/>
      </c:spPr>
    </c:plotArea>
    <c:legend>
      <c:legendPos val="b"/>
      <c:layout>
        <c:manualLayout>
          <c:xMode val="edge"/>
          <c:yMode val="edge"/>
          <c:x val="2.9150262467191601E-2"/>
          <c:y val="0.80511628754738995"/>
          <c:w val="0.94136964129483813"/>
          <c:h val="0.194883712452610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Weekly tax</a:t>
            </a:r>
            <a:r>
              <a:rPr lang="en-US" baseline="0"/>
              <a:t> bill for average taxpayer (real)</a:t>
            </a:r>
            <a:endParaRPr lang="en-US"/>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bg1">
                  <a:lumMod val="8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1F18-4FE8-9AB7-786A4CB498AC}"/>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1F18-4FE8-9AB7-786A4CB498AC}"/>
              </c:ext>
            </c:extLst>
          </c:dPt>
          <c:dPt>
            <c:idx val="2"/>
            <c:bubble3D val="0"/>
            <c:spPr>
              <a:solidFill>
                <a:schemeClr val="tx1">
                  <a:lumMod val="95000"/>
                  <a:lumOff val="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1F18-4FE8-9AB7-786A4CB498AC}"/>
              </c:ext>
            </c:extLst>
          </c:dPt>
          <c:dPt>
            <c:idx val="3"/>
            <c:bubble3D val="0"/>
            <c:spPr>
              <a:solidFill>
                <a:schemeClr val="accent4">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1F18-4FE8-9AB7-786A4CB498AC}"/>
              </c:ext>
            </c:extLst>
          </c:dPt>
          <c:dPt>
            <c:idx val="4"/>
            <c:bubble3D val="0"/>
            <c:spPr>
              <a:solidFill>
                <a:schemeClr val="bg1">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9-1F18-4FE8-9AB7-786A4CB498AC}"/>
              </c:ext>
            </c:extLst>
          </c:dPt>
          <c:dPt>
            <c:idx val="5"/>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B-1F18-4FE8-9AB7-786A4CB498AC}"/>
              </c:ext>
            </c:extLst>
          </c:dPt>
          <c:dPt>
            <c:idx val="6"/>
            <c:bubble3D val="0"/>
            <c:spPr>
              <a:solidFill>
                <a:schemeClr val="tx2">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1F18-4FE8-9AB7-786A4CB498AC}"/>
              </c:ext>
            </c:extLst>
          </c:dPt>
          <c:dPt>
            <c:idx val="7"/>
            <c:bubble3D val="0"/>
            <c:spPr>
              <a:solidFill>
                <a:srgbClr val="00B0F0"/>
              </a:solidFill>
              <a:ln w="19050">
                <a:solidFill>
                  <a:schemeClr val="lt1"/>
                </a:solidFill>
              </a:ln>
              <a:effectLst/>
            </c:spPr>
            <c:extLst xmlns:c16r2="http://schemas.microsoft.com/office/drawing/2015/06/chart">
              <c:ext xmlns:c16="http://schemas.microsoft.com/office/drawing/2014/chart" uri="{C3380CC4-5D6E-409C-BE32-E72D297353CC}">
                <c16:uniqueId val="{0000000F-1F18-4FE8-9AB7-786A4CB498AC}"/>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93DF-415C-BA05-38B6C1DD08A5}"/>
              </c:ext>
            </c:extLst>
          </c:dPt>
          <c:dLbls>
            <c:dLbl>
              <c:idx val="0"/>
              <c:layout>
                <c:manualLayout>
                  <c:x val="0.14223512685914264"/>
                  <c:y val="2.3074329250510364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1F18-4FE8-9AB7-786A4CB498AC}"/>
                </c:ext>
                <c:ext xmlns:c15="http://schemas.microsoft.com/office/drawing/2012/chart" uri="{CE6537A1-D6FC-4f65-9D91-7224C49458BB}">
                  <c15:layout>
                    <c:manualLayout>
                      <c:w val="0.42479155730533685"/>
                      <c:h val="0.12638888888888888"/>
                    </c:manualLayout>
                  </c15:layout>
                </c:ext>
              </c:extLst>
            </c:dLbl>
            <c:dLbl>
              <c:idx val="1"/>
              <c:layout>
                <c:manualLayout>
                  <c:x val="0.16789501312335936"/>
                  <c:y val="0.14651192038495187"/>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3-1F18-4FE8-9AB7-786A4CB498AC}"/>
                </c:ext>
                <c:ext xmlns:c15="http://schemas.microsoft.com/office/drawing/2012/chart" uri="{CE6537A1-D6FC-4f65-9D91-7224C49458BB}">
                  <c15:layout>
                    <c:manualLayout>
                      <c:w val="0.25423468941382327"/>
                      <c:h val="0.13564814814814813"/>
                    </c:manualLayout>
                  </c15:layout>
                </c:ext>
              </c:extLst>
            </c:dLbl>
            <c:dLbl>
              <c:idx val="2"/>
              <c:layout>
                <c:manualLayout>
                  <c:x val="1.6666666666666666E-2"/>
                  <c:y val="0.12267169728783903"/>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1F18-4FE8-9AB7-786A4CB498AC}"/>
                </c:ext>
                <c:ext xmlns:c15="http://schemas.microsoft.com/office/drawing/2012/chart" uri="{CE6537A1-D6FC-4f65-9D91-7224C49458BB}">
                  <c15:layout>
                    <c:manualLayout>
                      <c:w val="0.27916666666666667"/>
                      <c:h val="0.15393518518518517"/>
                    </c:manualLayout>
                  </c15:layout>
                </c:ext>
              </c:extLst>
            </c:dLbl>
            <c:dLbl>
              <c:idx val="3"/>
              <c:layout>
                <c:manualLayout>
                  <c:x val="0.1243672353455816"/>
                  <c:y val="4.0757144940215803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7-1F18-4FE8-9AB7-786A4CB498AC}"/>
                </c:ext>
                <c:ext xmlns:c15="http://schemas.microsoft.com/office/drawing/2012/chart" uri="{CE6537A1-D6FC-4f65-9D91-7224C49458BB}">
                  <c15:layout/>
                </c:ext>
              </c:extLst>
            </c:dLbl>
            <c:dLbl>
              <c:idx val="4"/>
              <c:layout>
                <c:manualLayout>
                  <c:x val="3.8888888888888938E-2"/>
                  <c:y val="0"/>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9-1F18-4FE8-9AB7-786A4CB498AC}"/>
                </c:ext>
                <c:ext xmlns:c15="http://schemas.microsoft.com/office/drawing/2012/chart" uri="{CE6537A1-D6FC-4f65-9D91-7224C49458BB}">
                  <c15:layout>
                    <c:manualLayout>
                      <c:w val="0.37777777777777777"/>
                      <c:h val="9.8379629629629636E-2"/>
                    </c:manualLayout>
                  </c15:layout>
                </c:ext>
              </c:extLst>
            </c:dLbl>
            <c:dLbl>
              <c:idx val="5"/>
              <c:layout>
                <c:manualLayout>
                  <c:x val="-3.3333333333333333E-2"/>
                  <c:y val="8.8797754447360835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B-1F18-4FE8-9AB7-786A4CB498AC}"/>
                </c:ext>
                <c:ext xmlns:c15="http://schemas.microsoft.com/office/drawing/2012/chart" uri="{CE6537A1-D6FC-4f65-9D91-7224C49458BB}">
                  <c15:layout>
                    <c:manualLayout>
                      <c:w val="0.29375000000000001"/>
                      <c:h val="0.19675925925925927"/>
                    </c:manualLayout>
                  </c15:layout>
                </c:ext>
              </c:extLst>
            </c:dLbl>
            <c:dLbl>
              <c:idx val="6"/>
              <c:layout>
                <c:manualLayout>
                  <c:x val="-0.17446456692913387"/>
                  <c:y val="-7.0329906678331958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D-1F18-4FE8-9AB7-786A4CB498AC}"/>
                </c:ext>
                <c:ext xmlns:c15="http://schemas.microsoft.com/office/drawing/2012/chart" uri="{CE6537A1-D6FC-4f65-9D91-7224C49458BB}">
                  <c15:layout/>
                </c:ext>
              </c:extLst>
            </c:dLbl>
            <c:dLbl>
              <c:idx val="7"/>
              <c:layout>
                <c:manualLayout>
                  <c:x val="-0.15156911636045495"/>
                  <c:y val="4.1123505395158896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F-1F18-4FE8-9AB7-786A4CB498AC}"/>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'Real per person (Core)'!$A$37:$A$45</c:f>
              <c:strCache>
                <c:ptCount val="9"/>
                <c:pt idx="0">
                  <c:v> Core govt services </c:v>
                </c:pt>
                <c:pt idx="1">
                  <c:v> Defence </c:v>
                </c:pt>
                <c:pt idx="2">
                  <c:v> Education </c:v>
                </c:pt>
                <c:pt idx="3">
                  <c:v> Finance costs </c:v>
                </c:pt>
                <c:pt idx="4">
                  <c:v> Health </c:v>
                </c:pt>
                <c:pt idx="5">
                  <c:v> Law and order </c:v>
                </c:pt>
                <c:pt idx="6">
                  <c:v> Welfare </c:v>
                </c:pt>
                <c:pt idx="7">
                  <c:v> NZ super </c:v>
                </c:pt>
                <c:pt idx="8">
                  <c:v> All other </c:v>
                </c:pt>
              </c:strCache>
            </c:strRef>
          </c:cat>
          <c:val>
            <c:numRef>
              <c:f>'Real per person (Core)'!$Y$37:$Y$45</c:f>
              <c:numCache>
                <c:formatCode>"$"#,##0.00</c:formatCode>
                <c:ptCount val="9"/>
                <c:pt idx="0">
                  <c:v>16.69337384982191</c:v>
                </c:pt>
                <c:pt idx="1">
                  <c:v>8.2449476888686455</c:v>
                </c:pt>
                <c:pt idx="2">
                  <c:v>53.54739471378759</c:v>
                </c:pt>
                <c:pt idx="3">
                  <c:v>14.60975429567544</c:v>
                </c:pt>
                <c:pt idx="4">
                  <c:v>63.591092095884242</c:v>
                </c:pt>
                <c:pt idx="5">
                  <c:v>14.845789323293593</c:v>
                </c:pt>
                <c:pt idx="6">
                  <c:v>48.077893384153107</c:v>
                </c:pt>
                <c:pt idx="7">
                  <c:v>49.921408341239733</c:v>
                </c:pt>
                <c:pt idx="8">
                  <c:v>31.327545562147506</c:v>
                </c:pt>
              </c:numCache>
            </c:numRef>
          </c:val>
          <c:extLst xmlns:c16r2="http://schemas.microsoft.com/office/drawing/2015/06/chart">
            <c:ext xmlns:c16="http://schemas.microsoft.com/office/drawing/2014/chart" uri="{C3380CC4-5D6E-409C-BE32-E72D297353CC}">
              <c16:uniqueId val="{0000000E-1F18-4FE8-9AB7-786A4CB498A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Real spending</a:t>
            </a:r>
            <a:r>
              <a:rPr lang="en-US" baseline="0"/>
              <a:t> per capita</a:t>
            </a:r>
          </a:p>
          <a:p>
            <a:pPr>
              <a:defRPr/>
            </a:pPr>
            <a:r>
              <a:rPr lang="en-US" sz="1050" baseline="0"/>
              <a:t>Per week</a:t>
            </a:r>
            <a:endParaRPr lang="en-US" sz="1050"/>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'Real per person (Core)'!$B$2:$AD$2</c:f>
              <c:numCache>
                <c:formatCode>yyyy</c:formatCode>
                <c:ptCount val="29"/>
                <c:pt idx="0">
                  <c:v>34121</c:v>
                </c:pt>
                <c:pt idx="1">
                  <c:v>34486</c:v>
                </c:pt>
                <c:pt idx="2">
                  <c:v>34851</c:v>
                </c:pt>
                <c:pt idx="3">
                  <c:v>35217</c:v>
                </c:pt>
                <c:pt idx="4">
                  <c:v>35582</c:v>
                </c:pt>
                <c:pt idx="5">
                  <c:v>35947</c:v>
                </c:pt>
                <c:pt idx="6">
                  <c:v>36312</c:v>
                </c:pt>
                <c:pt idx="7">
                  <c:v>36678</c:v>
                </c:pt>
                <c:pt idx="8">
                  <c:v>37043</c:v>
                </c:pt>
                <c:pt idx="9">
                  <c:v>37408</c:v>
                </c:pt>
                <c:pt idx="10">
                  <c:v>37773</c:v>
                </c:pt>
                <c:pt idx="11">
                  <c:v>38139</c:v>
                </c:pt>
                <c:pt idx="12">
                  <c:v>38504</c:v>
                </c:pt>
                <c:pt idx="13">
                  <c:v>38869</c:v>
                </c:pt>
                <c:pt idx="14">
                  <c:v>39234</c:v>
                </c:pt>
                <c:pt idx="15">
                  <c:v>39600</c:v>
                </c:pt>
                <c:pt idx="16">
                  <c:v>39965</c:v>
                </c:pt>
                <c:pt idx="17">
                  <c:v>40330</c:v>
                </c:pt>
                <c:pt idx="18">
                  <c:v>40695</c:v>
                </c:pt>
                <c:pt idx="19">
                  <c:v>41061</c:v>
                </c:pt>
                <c:pt idx="20">
                  <c:v>41426</c:v>
                </c:pt>
                <c:pt idx="21">
                  <c:v>41791</c:v>
                </c:pt>
                <c:pt idx="22">
                  <c:v>42156</c:v>
                </c:pt>
                <c:pt idx="23">
                  <c:v>42522</c:v>
                </c:pt>
                <c:pt idx="24">
                  <c:v>42887</c:v>
                </c:pt>
                <c:pt idx="25">
                  <c:v>43252</c:v>
                </c:pt>
                <c:pt idx="26">
                  <c:v>43617</c:v>
                </c:pt>
                <c:pt idx="27">
                  <c:v>43983</c:v>
                </c:pt>
                <c:pt idx="28">
                  <c:v>44348</c:v>
                </c:pt>
              </c:numCache>
            </c:numRef>
          </c:cat>
          <c:val>
            <c:numRef>
              <c:f>'Real per person (Core)'!$B$46:$AD$46</c:f>
              <c:numCache>
                <c:formatCode>"$"#,##0.00</c:formatCode>
                <c:ptCount val="29"/>
                <c:pt idx="0">
                  <c:v>268.832609657224</c:v>
                </c:pt>
                <c:pt idx="1">
                  <c:v>247.46764384373392</c:v>
                </c:pt>
                <c:pt idx="2">
                  <c:v>239.17359008938215</c:v>
                </c:pt>
                <c:pt idx="3">
                  <c:v>240.99832445043293</c:v>
                </c:pt>
                <c:pt idx="4">
                  <c:v>244.18699295150813</c:v>
                </c:pt>
                <c:pt idx="5">
                  <c:v>247.16163951257124</c:v>
                </c:pt>
                <c:pt idx="6">
                  <c:v>258.40448008545104</c:v>
                </c:pt>
                <c:pt idx="7">
                  <c:v>254.28598514789684</c:v>
                </c:pt>
                <c:pt idx="8">
                  <c:v>248.44410936312778</c:v>
                </c:pt>
                <c:pt idx="9">
                  <c:v>245.85085699536873</c:v>
                </c:pt>
                <c:pt idx="10">
                  <c:v>249.58888157630622</c:v>
                </c:pt>
                <c:pt idx="11">
                  <c:v>252.17026098186014</c:v>
                </c:pt>
                <c:pt idx="12">
                  <c:v>259.80589546511067</c:v>
                </c:pt>
                <c:pt idx="13">
                  <c:v>271.23895864942347</c:v>
                </c:pt>
                <c:pt idx="14">
                  <c:v>288.46575556747723</c:v>
                </c:pt>
                <c:pt idx="15">
                  <c:v>290.22750384943959</c:v>
                </c:pt>
                <c:pt idx="16">
                  <c:v>316.68241826856018</c:v>
                </c:pt>
                <c:pt idx="17">
                  <c:v>308.10618048980268</c:v>
                </c:pt>
                <c:pt idx="18">
                  <c:v>319.64368559885514</c:v>
                </c:pt>
                <c:pt idx="19">
                  <c:v>308.7669354236881</c:v>
                </c:pt>
                <c:pt idx="20">
                  <c:v>309.72966416332883</c:v>
                </c:pt>
                <c:pt idx="21">
                  <c:v>305.1947244268186</c:v>
                </c:pt>
                <c:pt idx="22">
                  <c:v>301.9708254367078</c:v>
                </c:pt>
                <c:pt idx="23">
                  <c:v>300.85919925487178</c:v>
                </c:pt>
                <c:pt idx="24">
                  <c:v>303.7920840350572</c:v>
                </c:pt>
                <c:pt idx="25">
                  <c:v>305.59084434449051</c:v>
                </c:pt>
                <c:pt idx="26">
                  <c:v>305.53053190547291</c:v>
                </c:pt>
                <c:pt idx="27">
                  <c:v>304.82157181594999</c:v>
                </c:pt>
                <c:pt idx="28">
                  <c:v>305.24848422760056</c:v>
                </c:pt>
              </c:numCache>
            </c:numRef>
          </c:val>
          <c:smooth val="0"/>
          <c:extLst xmlns:c16r2="http://schemas.microsoft.com/office/drawing/2015/06/chart">
            <c:ext xmlns:c16="http://schemas.microsoft.com/office/drawing/2014/chart" uri="{C3380CC4-5D6E-409C-BE32-E72D297353CC}">
              <c16:uniqueId val="{00000000-98BC-400C-A878-F3BB1387E7E1}"/>
            </c:ext>
          </c:extLst>
        </c:ser>
        <c:dLbls>
          <c:showLegendKey val="0"/>
          <c:showVal val="0"/>
          <c:showCatName val="0"/>
          <c:showSerName val="0"/>
          <c:showPercent val="0"/>
          <c:showBubbleSize val="0"/>
        </c:dLbls>
        <c:smooth val="0"/>
        <c:axId val="250671776"/>
        <c:axId val="250672168"/>
      </c:lineChart>
      <c:dateAx>
        <c:axId val="250671776"/>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0672168"/>
        <c:crosses val="autoZero"/>
        <c:auto val="1"/>
        <c:lblOffset val="100"/>
        <c:baseTimeUnit val="years"/>
        <c:majorUnit val="3"/>
        <c:majorTimeUnit val="years"/>
      </c:dateAx>
      <c:valAx>
        <c:axId val="250672168"/>
        <c:scaling>
          <c:orientation val="minMax"/>
          <c:min val="200"/>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50671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12</xdr:col>
      <xdr:colOff>33337</xdr:colOff>
      <xdr:row>15</xdr:row>
      <xdr:rowOff>133350</xdr:rowOff>
    </xdr:from>
    <xdr:to>
      <xdr:col>18</xdr:col>
      <xdr:colOff>376237</xdr:colOff>
      <xdr:row>30</xdr:row>
      <xdr:rowOff>19050</xdr:rowOff>
    </xdr:to>
    <xdr:graphicFrame macro="">
      <xdr:nvGraphicFramePr>
        <xdr:cNvPr id="3" name="Chart 2">
          <a:extLst>
            <a:ext uri="{FF2B5EF4-FFF2-40B4-BE49-F238E27FC236}">
              <a16:creationId xmlns:a16="http://schemas.microsoft.com/office/drawing/2014/main" xmlns=""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138112</xdr:colOff>
      <xdr:row>15</xdr:row>
      <xdr:rowOff>114300</xdr:rowOff>
    </xdr:from>
    <xdr:to>
      <xdr:col>4</xdr:col>
      <xdr:colOff>61912</xdr:colOff>
      <xdr:row>30</xdr:row>
      <xdr:rowOff>0</xdr:rowOff>
    </xdr:to>
    <xdr:graphicFrame macro="">
      <xdr:nvGraphicFramePr>
        <xdr:cNvPr id="6" name="Chart 5">
          <a:extLst>
            <a:ext uri="{FF2B5EF4-FFF2-40B4-BE49-F238E27FC236}">
              <a16:creationId xmlns:a16="http://schemas.microsoft.com/office/drawing/2014/main" xmlns=""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14287</xdr:colOff>
      <xdr:row>15</xdr:row>
      <xdr:rowOff>114300</xdr:rowOff>
    </xdr:from>
    <xdr:to>
      <xdr:col>25</xdr:col>
      <xdr:colOff>442912</xdr:colOff>
      <xdr:row>30</xdr:row>
      <xdr:rowOff>0</xdr:rowOff>
    </xdr:to>
    <xdr:graphicFrame macro="">
      <xdr:nvGraphicFramePr>
        <xdr:cNvPr id="8" name="Chart 7">
          <a:extLst>
            <a:ext uri="{FF2B5EF4-FFF2-40B4-BE49-F238E27FC236}">
              <a16:creationId xmlns:a16="http://schemas.microsoft.com/office/drawing/2014/main" xmlns=""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152400</xdr:colOff>
      <xdr:row>15</xdr:row>
      <xdr:rowOff>142875</xdr:rowOff>
    </xdr:from>
    <xdr:to>
      <xdr:col>11</xdr:col>
      <xdr:colOff>476250</xdr:colOff>
      <xdr:row>30</xdr:row>
      <xdr:rowOff>28575</xdr:rowOff>
    </xdr:to>
    <xdr:graphicFrame macro="">
      <xdr:nvGraphicFramePr>
        <xdr:cNvPr id="9" name="Chart 8">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71437</xdr:colOff>
      <xdr:row>15</xdr:row>
      <xdr:rowOff>19050</xdr:rowOff>
    </xdr:from>
    <xdr:to>
      <xdr:col>10</xdr:col>
      <xdr:colOff>376237</xdr:colOff>
      <xdr:row>29</xdr:row>
      <xdr:rowOff>95250</xdr:rowOff>
    </xdr:to>
    <xdr:graphicFrame macro="">
      <xdr:nvGraphicFramePr>
        <xdr:cNvPr id="5" name="Chart 4">
          <a:extLst>
            <a:ext uri="{FF2B5EF4-FFF2-40B4-BE49-F238E27FC236}">
              <a16:creationId xmlns:a16="http://schemas.microsoft.com/office/drawing/2014/main" xmlns=""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23812</xdr:colOff>
      <xdr:row>15</xdr:row>
      <xdr:rowOff>114300</xdr:rowOff>
    </xdr:from>
    <xdr:to>
      <xdr:col>17</xdr:col>
      <xdr:colOff>366712</xdr:colOff>
      <xdr:row>30</xdr:row>
      <xdr:rowOff>0</xdr:rowOff>
    </xdr:to>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128587</xdr:colOff>
      <xdr:row>15</xdr:row>
      <xdr:rowOff>66675</xdr:rowOff>
    </xdr:from>
    <xdr:to>
      <xdr:col>4</xdr:col>
      <xdr:colOff>52387</xdr:colOff>
      <xdr:row>29</xdr:row>
      <xdr:rowOff>142875</xdr:rowOff>
    </xdr:to>
    <xdr:graphicFrame macro="">
      <xdr:nvGraphicFramePr>
        <xdr:cNvPr id="3" name="Chart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595312</xdr:colOff>
      <xdr:row>14</xdr:row>
      <xdr:rowOff>180975</xdr:rowOff>
    </xdr:from>
    <xdr:to>
      <xdr:col>24</xdr:col>
      <xdr:colOff>223837</xdr:colOff>
      <xdr:row>29</xdr:row>
      <xdr:rowOff>66675</xdr:rowOff>
    </xdr:to>
    <xdr:graphicFrame macro="">
      <xdr:nvGraphicFramePr>
        <xdr:cNvPr id="4" name="Chart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157162</xdr:colOff>
      <xdr:row>15</xdr:row>
      <xdr:rowOff>47625</xdr:rowOff>
    </xdr:from>
    <xdr:to>
      <xdr:col>10</xdr:col>
      <xdr:colOff>576262</xdr:colOff>
      <xdr:row>29</xdr:row>
      <xdr:rowOff>123825</xdr:rowOff>
    </xdr:to>
    <xdr:graphicFrame macro="">
      <xdr:nvGraphicFramePr>
        <xdr:cNvPr id="6" name="Chart 5">
          <a:extLst>
            <a:ext uri="{FF2B5EF4-FFF2-40B4-BE49-F238E27FC236}">
              <a16:creationId xmlns:a16="http://schemas.microsoft.com/office/drawing/2014/main" xmlns=""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311150</xdr:colOff>
      <xdr:row>15</xdr:row>
      <xdr:rowOff>146050</xdr:rowOff>
    </xdr:from>
    <xdr:to>
      <xdr:col>40</xdr:col>
      <xdr:colOff>619125</xdr:colOff>
      <xdr:row>30</xdr:row>
      <xdr:rowOff>31750</xdr:rowOff>
    </xdr:to>
    <xdr:graphicFrame macro="">
      <xdr:nvGraphicFramePr>
        <xdr:cNvPr id="7" name="Chart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42</xdr:col>
      <xdr:colOff>0</xdr:colOff>
      <xdr:row>16</xdr:row>
      <xdr:rowOff>0</xdr:rowOff>
    </xdr:from>
    <xdr:to>
      <xdr:col>49</xdr:col>
      <xdr:colOff>312420</xdr:colOff>
      <xdr:row>30</xdr:row>
      <xdr:rowOff>68580</xdr:rowOff>
    </xdr:to>
    <xdr:graphicFrame macro="">
      <xdr:nvGraphicFramePr>
        <xdr:cNvPr id="8" name="Chart 7">
          <a:extLst>
            <a:ext uri="{FF2B5EF4-FFF2-40B4-BE49-F238E27FC236}">
              <a16:creationId xmlns:a16="http://schemas.microsoft.com/office/drawing/2014/main" xmlns=""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576262</xdr:colOff>
      <xdr:row>10</xdr:row>
      <xdr:rowOff>19050</xdr:rowOff>
    </xdr:from>
    <xdr:to>
      <xdr:col>20</xdr:col>
      <xdr:colOff>271462</xdr:colOff>
      <xdr:row>24</xdr:row>
      <xdr:rowOff>95250</xdr:rowOff>
    </xdr:to>
    <xdr:graphicFrame macro="">
      <xdr:nvGraphicFramePr>
        <xdr:cNvPr id="2" name="Chart 1">
          <a:extLst>
            <a:ext uri="{FF2B5EF4-FFF2-40B4-BE49-F238E27FC236}">
              <a16:creationId xmlns:a16="http://schemas.microsoft.com/office/drawing/2014/main" xmlns=""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533400</xdr:colOff>
      <xdr:row>24</xdr:row>
      <xdr:rowOff>133350</xdr:rowOff>
    </xdr:from>
    <xdr:to>
      <xdr:col>20</xdr:col>
      <xdr:colOff>228600</xdr:colOff>
      <xdr:row>39</xdr:row>
      <xdr:rowOff>19050</xdr:rowOff>
    </xdr:to>
    <xdr:graphicFrame macro="">
      <xdr:nvGraphicFramePr>
        <xdr:cNvPr id="3" name="Chart 2">
          <a:extLst>
            <a:ext uri="{FF2B5EF4-FFF2-40B4-BE49-F238E27FC236}">
              <a16:creationId xmlns:a16="http://schemas.microsoft.com/office/drawing/2014/main" xmlns=""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247650</xdr:colOff>
      <xdr:row>23</xdr:row>
      <xdr:rowOff>28575</xdr:rowOff>
    </xdr:from>
    <xdr:to>
      <xdr:col>11</xdr:col>
      <xdr:colOff>552450</xdr:colOff>
      <xdr:row>37</xdr:row>
      <xdr:rowOff>104775</xdr:rowOff>
    </xdr:to>
    <xdr:graphicFrame macro="">
      <xdr:nvGraphicFramePr>
        <xdr:cNvPr id="4" name="Chart 3">
          <a:extLst>
            <a:ext uri="{FF2B5EF4-FFF2-40B4-BE49-F238E27FC236}">
              <a16:creationId xmlns:a16="http://schemas.microsoft.com/office/drawing/2014/main" xmlns=""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33337</xdr:colOff>
      <xdr:row>15</xdr:row>
      <xdr:rowOff>133350</xdr:rowOff>
    </xdr:from>
    <xdr:to>
      <xdr:col>18</xdr:col>
      <xdr:colOff>376237</xdr:colOff>
      <xdr:row>30</xdr:row>
      <xdr:rowOff>19050</xdr:rowOff>
    </xdr:to>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14287</xdr:colOff>
      <xdr:row>15</xdr:row>
      <xdr:rowOff>114300</xdr:rowOff>
    </xdr:from>
    <xdr:to>
      <xdr:col>25</xdr:col>
      <xdr:colOff>442912</xdr:colOff>
      <xdr:row>30</xdr:row>
      <xdr:rowOff>0</xdr:rowOff>
    </xdr:to>
    <xdr:graphicFrame macro="">
      <xdr:nvGraphicFramePr>
        <xdr:cNvPr id="4" name="Chart 3">
          <a:extLst>
            <a:ext uri="{FF2B5EF4-FFF2-40B4-BE49-F238E27FC236}">
              <a16:creationId xmlns:a16="http://schemas.microsoft.com/office/drawing/2014/main" xmlns=""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152400</xdr:colOff>
      <xdr:row>15</xdr:row>
      <xdr:rowOff>142875</xdr:rowOff>
    </xdr:from>
    <xdr:to>
      <xdr:col>11</xdr:col>
      <xdr:colOff>476250</xdr:colOff>
      <xdr:row>30</xdr:row>
      <xdr:rowOff>28575</xdr:rowOff>
    </xdr:to>
    <xdr:graphicFrame macro="">
      <xdr:nvGraphicFramePr>
        <xdr:cNvPr id="5" name="Chart 4">
          <a:extLst>
            <a:ext uri="{FF2B5EF4-FFF2-40B4-BE49-F238E27FC236}">
              <a16:creationId xmlns:a16="http://schemas.microsoft.com/office/drawing/2014/main" xmlns=""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223837</xdr:colOff>
      <xdr:row>15</xdr:row>
      <xdr:rowOff>76200</xdr:rowOff>
    </xdr:from>
    <xdr:to>
      <xdr:col>4</xdr:col>
      <xdr:colOff>147637</xdr:colOff>
      <xdr:row>29</xdr:row>
      <xdr:rowOff>152400</xdr:rowOff>
    </xdr:to>
    <xdr:graphicFrame macro="">
      <xdr:nvGraphicFramePr>
        <xdr:cNvPr id="6" name="Chart 5">
          <a:extLst>
            <a:ext uri="{FF2B5EF4-FFF2-40B4-BE49-F238E27FC236}">
              <a16:creationId xmlns:a16="http://schemas.microsoft.com/office/drawing/2014/main" xmlns=""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319087</xdr:colOff>
      <xdr:row>10</xdr:row>
      <xdr:rowOff>38100</xdr:rowOff>
    </xdr:from>
    <xdr:to>
      <xdr:col>11</xdr:col>
      <xdr:colOff>14287</xdr:colOff>
      <xdr:row>24</xdr:row>
      <xdr:rowOff>114300</xdr:rowOff>
    </xdr:to>
    <xdr:graphicFrame macro="">
      <xdr:nvGraphicFramePr>
        <xdr:cNvPr id="2" name="Chart 1">
          <a:extLst>
            <a:ext uri="{FF2B5EF4-FFF2-40B4-BE49-F238E27FC236}">
              <a16:creationId xmlns:a16="http://schemas.microsoft.com/office/drawing/2014/main" xmlns=""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33337</xdr:colOff>
      <xdr:row>15</xdr:row>
      <xdr:rowOff>133350</xdr:rowOff>
    </xdr:from>
    <xdr:to>
      <xdr:col>18</xdr:col>
      <xdr:colOff>376237</xdr:colOff>
      <xdr:row>30</xdr:row>
      <xdr:rowOff>19050</xdr:rowOff>
    </xdr:to>
    <xdr:graphicFrame macro="">
      <xdr:nvGraphicFramePr>
        <xdr:cNvPr id="2" name="Chart 1">
          <a:extLst>
            <a:ext uri="{FF2B5EF4-FFF2-40B4-BE49-F238E27FC236}">
              <a16:creationId xmlns:a16="http://schemas.microsoft.com/office/drawing/2014/main" xmlns=""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14287</xdr:colOff>
      <xdr:row>15</xdr:row>
      <xdr:rowOff>114300</xdr:rowOff>
    </xdr:from>
    <xdr:to>
      <xdr:col>25</xdr:col>
      <xdr:colOff>442912</xdr:colOff>
      <xdr:row>30</xdr:row>
      <xdr:rowOff>0</xdr:rowOff>
    </xdr:to>
    <xdr:graphicFrame macro="">
      <xdr:nvGraphicFramePr>
        <xdr:cNvPr id="3" name="Chart 2">
          <a:extLst>
            <a:ext uri="{FF2B5EF4-FFF2-40B4-BE49-F238E27FC236}">
              <a16:creationId xmlns:a16="http://schemas.microsoft.com/office/drawing/2014/main" xmlns=""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152400</xdr:colOff>
      <xdr:row>15</xdr:row>
      <xdr:rowOff>142875</xdr:rowOff>
    </xdr:from>
    <xdr:to>
      <xdr:col>11</xdr:col>
      <xdr:colOff>476250</xdr:colOff>
      <xdr:row>30</xdr:row>
      <xdr:rowOff>28575</xdr:rowOff>
    </xdr:to>
    <xdr:graphicFrame macro="">
      <xdr:nvGraphicFramePr>
        <xdr:cNvPr id="4" name="Chart 3">
          <a:extLst>
            <a:ext uri="{FF2B5EF4-FFF2-40B4-BE49-F238E27FC236}">
              <a16:creationId xmlns:a16="http://schemas.microsoft.com/office/drawing/2014/main" xmlns=""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223837</xdr:colOff>
      <xdr:row>15</xdr:row>
      <xdr:rowOff>76200</xdr:rowOff>
    </xdr:from>
    <xdr:to>
      <xdr:col>4</xdr:col>
      <xdr:colOff>147637</xdr:colOff>
      <xdr:row>29</xdr:row>
      <xdr:rowOff>152400</xdr:rowOff>
    </xdr:to>
    <xdr:graphicFrame macro="">
      <xdr:nvGraphicFramePr>
        <xdr:cNvPr id="5" name="Chart 4">
          <a:extLst>
            <a:ext uri="{FF2B5EF4-FFF2-40B4-BE49-F238E27FC236}">
              <a16:creationId xmlns:a16="http://schemas.microsoft.com/office/drawing/2014/main" xmlns=""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NZIER">
      <a:dk1>
        <a:sysClr val="windowText" lastClr="000000"/>
      </a:dk1>
      <a:lt1>
        <a:sysClr val="window" lastClr="FFFFFF"/>
      </a:lt1>
      <a:dk2>
        <a:srgbClr val="44546A"/>
      </a:dk2>
      <a:lt2>
        <a:srgbClr val="E7E6E6"/>
      </a:lt2>
      <a:accent1>
        <a:srgbClr val="0094C5"/>
      </a:accent1>
      <a:accent2>
        <a:srgbClr val="2C2276"/>
      </a:accent2>
      <a:accent3>
        <a:srgbClr val="9D9D9D"/>
      </a:accent3>
      <a:accent4>
        <a:srgbClr val="89C1D3"/>
      </a:accent4>
      <a:accent5>
        <a:srgbClr val="3AAA35"/>
      </a:accent5>
      <a:accent6>
        <a:srgbClr val="7B1244"/>
      </a:accent6>
      <a:hlink>
        <a:srgbClr val="AFCA0B"/>
      </a:hlink>
      <a:folHlink>
        <a:srgbClr val="E5006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hyperlink" Target="http://nzdotstat.stats.govt.nz/OECDStat_Metadata/ShowMetadata.ashx?Dataset=TABLECODE7543&amp;Coords=%5bYEAR%5d.%5b2016%5d&amp;ShowOnWeb=true&amp;Lang=en"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E31"/>
  <sheetViews>
    <sheetView workbookViewId="0">
      <selection activeCell="A9" sqref="A9"/>
    </sheetView>
  </sheetViews>
  <sheetFormatPr defaultRowHeight="15" x14ac:dyDescent="0.25"/>
  <cols>
    <col min="1" max="1" width="42.28515625" customWidth="1"/>
  </cols>
  <sheetData>
    <row r="2" spans="1:31" s="8" customFormat="1" x14ac:dyDescent="0.25">
      <c r="A2" s="187" t="s">
        <v>0</v>
      </c>
      <c r="B2" s="4" t="s">
        <v>1</v>
      </c>
      <c r="C2" s="4" t="s">
        <v>2</v>
      </c>
      <c r="D2" s="4" t="s">
        <v>3</v>
      </c>
      <c r="E2" s="4" t="s">
        <v>4</v>
      </c>
      <c r="F2" s="4" t="s">
        <v>5</v>
      </c>
      <c r="G2" s="4" t="s">
        <v>6</v>
      </c>
      <c r="H2" s="4" t="s">
        <v>7</v>
      </c>
      <c r="I2" s="4" t="s">
        <v>8</v>
      </c>
      <c r="J2" s="4" t="s">
        <v>9</v>
      </c>
      <c r="K2" s="4" t="s">
        <v>10</v>
      </c>
      <c r="L2" s="4" t="s">
        <v>11</v>
      </c>
      <c r="M2" s="4" t="s">
        <v>12</v>
      </c>
      <c r="N2" s="4" t="s">
        <v>13</v>
      </c>
      <c r="O2" s="4" t="s">
        <v>14</v>
      </c>
      <c r="P2" s="4" t="s">
        <v>15</v>
      </c>
      <c r="Q2" s="4" t="s">
        <v>16</v>
      </c>
      <c r="R2" s="4" t="s">
        <v>17</v>
      </c>
      <c r="S2" s="4" t="s">
        <v>18</v>
      </c>
      <c r="T2" s="4" t="s">
        <v>19</v>
      </c>
      <c r="U2" s="4" t="s">
        <v>20</v>
      </c>
      <c r="V2" s="4" t="s">
        <v>21</v>
      </c>
      <c r="W2" s="4">
        <v>2014</v>
      </c>
      <c r="X2" s="4" t="s">
        <v>22</v>
      </c>
      <c r="Y2" s="4" t="s">
        <v>23</v>
      </c>
      <c r="Z2" s="166">
        <v>2017</v>
      </c>
      <c r="AA2" s="166">
        <f>Z2+1</f>
        <v>2018</v>
      </c>
      <c r="AB2" s="166">
        <f>AA2+1</f>
        <v>2019</v>
      </c>
      <c r="AC2" s="166">
        <f>AB2+1</f>
        <v>2020</v>
      </c>
      <c r="AD2" s="166">
        <f>AC2+1</f>
        <v>2021</v>
      </c>
    </row>
    <row r="3" spans="1:31" x14ac:dyDescent="0.25">
      <c r="A3" s="188"/>
      <c r="B3" s="10" t="s">
        <v>24</v>
      </c>
      <c r="C3" s="10" t="s">
        <v>24</v>
      </c>
      <c r="D3" s="10" t="s">
        <v>24</v>
      </c>
      <c r="E3" s="10" t="s">
        <v>24</v>
      </c>
      <c r="F3" s="10" t="s">
        <v>24</v>
      </c>
      <c r="G3" s="10" t="s">
        <v>24</v>
      </c>
      <c r="H3" s="10" t="s">
        <v>24</v>
      </c>
      <c r="I3" s="10" t="s">
        <v>24</v>
      </c>
      <c r="J3" s="10" t="s">
        <v>24</v>
      </c>
      <c r="K3" s="10" t="s">
        <v>24</v>
      </c>
      <c r="L3" s="10" t="s">
        <v>24</v>
      </c>
      <c r="M3" s="10" t="s">
        <v>24</v>
      </c>
      <c r="N3" s="10" t="s">
        <v>24</v>
      </c>
      <c r="O3" s="10" t="s">
        <v>24</v>
      </c>
      <c r="P3" s="10" t="s">
        <v>24</v>
      </c>
      <c r="Q3" s="10" t="s">
        <v>24</v>
      </c>
      <c r="R3" s="10" t="s">
        <v>24</v>
      </c>
      <c r="S3" s="10" t="s">
        <v>24</v>
      </c>
      <c r="T3" s="10" t="s">
        <v>24</v>
      </c>
      <c r="U3" s="10" t="s">
        <v>24</v>
      </c>
      <c r="V3" s="10" t="s">
        <v>24</v>
      </c>
      <c r="W3" s="10" t="s">
        <v>24</v>
      </c>
      <c r="X3" s="10" t="s">
        <v>24</v>
      </c>
      <c r="Y3" s="10" t="s">
        <v>24</v>
      </c>
      <c r="Z3" s="158"/>
      <c r="AA3" s="158"/>
      <c r="AB3" s="158"/>
      <c r="AC3" s="158"/>
      <c r="AD3" s="158"/>
      <c r="AE3" s="158"/>
    </row>
    <row r="4" spans="1:31" x14ac:dyDescent="0.25">
      <c r="A4" s="188"/>
      <c r="B4" s="10" t="s">
        <v>25</v>
      </c>
      <c r="C4" s="10" t="s">
        <v>25</v>
      </c>
      <c r="D4" s="10" t="s">
        <v>25</v>
      </c>
      <c r="E4" s="10" t="s">
        <v>25</v>
      </c>
      <c r="F4" s="10" t="s">
        <v>25</v>
      </c>
      <c r="G4" s="10" t="s">
        <v>25</v>
      </c>
      <c r="H4" s="10" t="s">
        <v>25</v>
      </c>
      <c r="I4" s="10" t="s">
        <v>25</v>
      </c>
      <c r="J4" s="10" t="s">
        <v>25</v>
      </c>
      <c r="K4" s="10" t="s">
        <v>25</v>
      </c>
      <c r="L4" s="10" t="s">
        <v>25</v>
      </c>
      <c r="M4" s="10" t="s">
        <v>25</v>
      </c>
      <c r="N4" s="10" t="s">
        <v>25</v>
      </c>
      <c r="O4" s="10" t="s">
        <v>25</v>
      </c>
      <c r="P4" s="10" t="s">
        <v>25</v>
      </c>
      <c r="Q4" s="10" t="s">
        <v>25</v>
      </c>
      <c r="R4" s="10" t="s">
        <v>25</v>
      </c>
      <c r="S4" s="10" t="s">
        <v>25</v>
      </c>
      <c r="T4" s="10" t="s">
        <v>25</v>
      </c>
      <c r="U4" s="10" t="s">
        <v>25</v>
      </c>
      <c r="V4" s="10" t="s">
        <v>25</v>
      </c>
      <c r="W4" s="10" t="s">
        <v>25</v>
      </c>
      <c r="X4" s="10" t="s">
        <v>25</v>
      </c>
      <c r="Y4" s="10" t="s">
        <v>25</v>
      </c>
      <c r="Z4" s="158"/>
      <c r="AA4" s="158"/>
      <c r="AB4" s="158"/>
      <c r="AC4" s="158"/>
      <c r="AD4" s="158"/>
      <c r="AE4" s="158"/>
    </row>
    <row r="5" spans="1:31" s="18" customFormat="1" ht="15.75" customHeight="1" x14ac:dyDescent="0.25">
      <c r="A5" s="14" t="s">
        <v>26</v>
      </c>
      <c r="B5" s="16"/>
      <c r="C5" s="16"/>
      <c r="D5" s="16"/>
      <c r="E5" s="16"/>
      <c r="F5" s="16"/>
      <c r="G5" s="16"/>
      <c r="H5" s="16"/>
      <c r="I5" s="16"/>
      <c r="J5" s="16"/>
      <c r="K5" s="16"/>
      <c r="L5" s="16"/>
      <c r="M5" s="16"/>
      <c r="N5" s="16"/>
      <c r="O5" s="16"/>
      <c r="P5" s="16"/>
      <c r="Q5" s="16"/>
      <c r="R5" s="16"/>
      <c r="S5" s="16"/>
      <c r="T5" s="16"/>
      <c r="U5" s="16"/>
      <c r="V5" s="16"/>
      <c r="W5" s="16"/>
      <c r="X5" s="16"/>
      <c r="Y5" s="16"/>
    </row>
    <row r="6" spans="1:31" s="55" customFormat="1" ht="15.75" customHeight="1" x14ac:dyDescent="0.25">
      <c r="A6" s="56" t="str">
        <f>+'Core Crown Expenditure 93-16'!A6</f>
        <v>Core govt services</v>
      </c>
      <c r="B6" s="158">
        <f>+'Core Crown Expenditure 93-16'!B6</f>
        <v>1464</v>
      </c>
      <c r="C6" s="158">
        <f>+'Core Crown Expenditure 93-16'!C6</f>
        <v>1723</v>
      </c>
      <c r="D6" s="158">
        <f>+'Core Crown Expenditure 93-16'!D6</f>
        <v>1340</v>
      </c>
      <c r="E6" s="158">
        <f>+'Core Crown Expenditure 93-16'!E6</f>
        <v>1565</v>
      </c>
      <c r="F6" s="158">
        <f>+'Core Crown Expenditure 93-16'!F6</f>
        <v>1667</v>
      </c>
      <c r="G6" s="158">
        <f>+'Core Crown Expenditure 93-16'!G6</f>
        <v>1562</v>
      </c>
      <c r="H6" s="158">
        <f>+'Core Crown Expenditure 93-16'!H6</f>
        <v>1705</v>
      </c>
      <c r="I6" s="158">
        <f>+'Core Crown Expenditure 93-16'!I6</f>
        <v>1710</v>
      </c>
      <c r="J6" s="158">
        <f>+'Core Crown Expenditure 93-16'!J6</f>
        <v>1798</v>
      </c>
      <c r="K6" s="158">
        <f>+'Core Crown Expenditure 93-16'!K6</f>
        <v>1540</v>
      </c>
      <c r="L6" s="158">
        <f>+'Core Crown Expenditure 93-16'!L6</f>
        <v>2130</v>
      </c>
      <c r="M6" s="158">
        <f>+'Core Crown Expenditure 93-16'!M6</f>
        <v>2091</v>
      </c>
      <c r="N6" s="158">
        <f>+'Core Crown Expenditure 93-16'!N6</f>
        <v>2567</v>
      </c>
      <c r="O6" s="158">
        <f>+'Core Crown Expenditure 93-16'!O6</f>
        <v>2507</v>
      </c>
      <c r="P6" s="158">
        <f>+'Core Crown Expenditure 93-16'!P6</f>
        <v>4816</v>
      </c>
      <c r="Q6" s="158">
        <f>+'Core Crown Expenditure 93-16'!Q6</f>
        <v>3371</v>
      </c>
      <c r="R6" s="158">
        <f>+'Core Crown Expenditure 93-16'!R6</f>
        <v>5293</v>
      </c>
      <c r="S6" s="158">
        <f>+'Core Crown Expenditure 93-16'!S6</f>
        <v>2974</v>
      </c>
      <c r="T6" s="158">
        <f>+'Core Crown Expenditure 93-16'!T6</f>
        <v>5563</v>
      </c>
      <c r="U6" s="158">
        <f>+'Core Crown Expenditure 93-16'!U6</f>
        <v>5428</v>
      </c>
      <c r="V6" s="158">
        <f>+'Core Crown Expenditure 93-16'!V6</f>
        <v>4294</v>
      </c>
      <c r="W6" s="158">
        <f>+'Core Crown Expenditure 93-16'!W6</f>
        <v>4502</v>
      </c>
      <c r="X6" s="158">
        <f>+'Core Crown Expenditure 93-16'!X6</f>
        <v>4134</v>
      </c>
      <c r="Y6" s="158">
        <f>+'Core Crown Expenditure 93-16'!Y6</f>
        <v>4102</v>
      </c>
      <c r="Z6" s="158">
        <f>+'Core Crown Expenditure 93-16'!Z6</f>
        <v>4113</v>
      </c>
      <c r="AA6" s="158">
        <f>+'Core Crown Expenditure 93-16'!AA6</f>
        <v>4772</v>
      </c>
      <c r="AB6" s="158">
        <f>+'Core Crown Expenditure 93-16'!AB6</f>
        <v>4494</v>
      </c>
      <c r="AC6" s="158">
        <f>+'Core Crown Expenditure 93-16'!AC6</f>
        <v>4595</v>
      </c>
      <c r="AD6" s="158">
        <f>+'Core Crown Expenditure 93-16'!AD6</f>
        <v>4632</v>
      </c>
      <c r="AE6" s="158"/>
    </row>
    <row r="7" spans="1:31" x14ac:dyDescent="0.25">
      <c r="A7" s="24" t="s">
        <v>27</v>
      </c>
      <c r="B7" s="158">
        <f>+'Core Crown Expenditure 93-16'!B7</f>
        <v>1173</v>
      </c>
      <c r="C7" s="158">
        <f>+'Core Crown Expenditure 93-16'!C7</f>
        <v>1049</v>
      </c>
      <c r="D7" s="158">
        <f>+'Core Crown Expenditure 93-16'!D7</f>
        <v>1013</v>
      </c>
      <c r="E7" s="158">
        <f>+'Core Crown Expenditure 93-16'!E7</f>
        <v>970</v>
      </c>
      <c r="F7" s="158">
        <f>+'Core Crown Expenditure 93-16'!F7</f>
        <v>946</v>
      </c>
      <c r="G7" s="158">
        <f>+'Core Crown Expenditure 93-16'!G7</f>
        <v>1065</v>
      </c>
      <c r="H7" s="158">
        <f>+'Core Crown Expenditure 93-16'!H7</f>
        <v>1030</v>
      </c>
      <c r="I7" s="158">
        <f>+'Core Crown Expenditure 93-16'!I7</f>
        <v>1247</v>
      </c>
      <c r="J7" s="158">
        <f>+'Core Crown Expenditure 93-16'!J7</f>
        <v>1242</v>
      </c>
      <c r="K7" s="158">
        <f>+'Core Crown Expenditure 93-16'!K7</f>
        <v>1162</v>
      </c>
      <c r="L7" s="158">
        <f>+'Core Crown Expenditure 93-16'!L7</f>
        <v>1199</v>
      </c>
      <c r="M7" s="158">
        <f>+'Core Crown Expenditure 93-16'!M7</f>
        <v>1311</v>
      </c>
      <c r="N7" s="158">
        <f>+'Core Crown Expenditure 93-16'!N7</f>
        <v>1275</v>
      </c>
      <c r="O7" s="158">
        <f>+'Core Crown Expenditure 93-16'!O7</f>
        <v>1383</v>
      </c>
      <c r="P7" s="158">
        <f>+'Core Crown Expenditure 93-16'!P7</f>
        <v>1517</v>
      </c>
      <c r="Q7" s="158">
        <f>+'Core Crown Expenditure 93-16'!Q7</f>
        <v>1562</v>
      </c>
      <c r="R7" s="158">
        <f>+'Core Crown Expenditure 93-16'!R7</f>
        <v>1757</v>
      </c>
      <c r="S7" s="158">
        <f>+'Core Crown Expenditure 93-16'!S7</f>
        <v>1814</v>
      </c>
      <c r="T7" s="158">
        <f>+'Core Crown Expenditure 93-16'!T7</f>
        <v>1809</v>
      </c>
      <c r="U7" s="158">
        <f>+'Core Crown Expenditure 93-16'!U7</f>
        <v>1736</v>
      </c>
      <c r="V7" s="158">
        <f>+'Core Crown Expenditure 93-16'!V7</f>
        <v>1804</v>
      </c>
      <c r="W7" s="158">
        <f>+'Core Crown Expenditure 93-16'!W7</f>
        <v>1811</v>
      </c>
      <c r="X7" s="158">
        <f>+'Core Crown Expenditure 93-16'!X7</f>
        <v>1961</v>
      </c>
      <c r="Y7" s="158">
        <f>+'Core Crown Expenditure 93-16'!Y7</f>
        <v>2026</v>
      </c>
      <c r="Z7" s="158">
        <f>+'Core Crown Expenditure 93-16'!Z7</f>
        <v>2134</v>
      </c>
      <c r="AA7" s="158">
        <f>+'Core Crown Expenditure 93-16'!AA7</f>
        <v>2262</v>
      </c>
      <c r="AB7" s="158">
        <f>+'Core Crown Expenditure 93-16'!AB7</f>
        <v>2424</v>
      </c>
      <c r="AC7" s="158">
        <f>+'Core Crown Expenditure 93-16'!AC7</f>
        <v>2512</v>
      </c>
      <c r="AD7" s="158">
        <f>+'Core Crown Expenditure 93-16'!AD7</f>
        <v>2600</v>
      </c>
      <c r="AE7" s="158"/>
    </row>
    <row r="8" spans="1:31" x14ac:dyDescent="0.25">
      <c r="A8" s="24" t="s">
        <v>28</v>
      </c>
      <c r="B8" s="158">
        <f>+'Core Crown Expenditure 93-16'!B9</f>
        <v>4539</v>
      </c>
      <c r="C8" s="158">
        <f>+'Core Crown Expenditure 93-16'!C9</f>
        <v>4627</v>
      </c>
      <c r="D8" s="158">
        <f>+'Core Crown Expenditure 93-16'!D9</f>
        <v>4803</v>
      </c>
      <c r="E8" s="158">
        <f>+'Core Crown Expenditure 93-16'!E9</f>
        <v>4949</v>
      </c>
      <c r="F8" s="158">
        <f>+'Core Crown Expenditure 93-16'!F9</f>
        <v>5335</v>
      </c>
      <c r="G8" s="158">
        <f>+'Core Crown Expenditure 93-16'!G9</f>
        <v>5714</v>
      </c>
      <c r="H8" s="158">
        <f>+'Core Crown Expenditure 93-16'!H9</f>
        <v>5899</v>
      </c>
      <c r="I8" s="158">
        <f>+'Core Crown Expenditure 93-16'!I9</f>
        <v>6310</v>
      </c>
      <c r="J8" s="158">
        <f>+'Core Crown Expenditure 93-16'!J9</f>
        <v>6136</v>
      </c>
      <c r="K8" s="158">
        <f>+'Core Crown Expenditure 93-16'!K9</f>
        <v>6473</v>
      </c>
      <c r="L8" s="158">
        <f>+'Core Crown Expenditure 93-16'!L9</f>
        <v>7016</v>
      </c>
      <c r="M8" s="158">
        <f>+'Core Crown Expenditure 93-16'!M9</f>
        <v>7585</v>
      </c>
      <c r="N8" s="158">
        <f>+'Core Crown Expenditure 93-16'!N9</f>
        <v>7930</v>
      </c>
      <c r="O8" s="158">
        <f>+'Core Crown Expenditure 93-16'!O9</f>
        <v>9914</v>
      </c>
      <c r="P8" s="158">
        <f>+'Core Crown Expenditure 93-16'!P9</f>
        <v>9269</v>
      </c>
      <c r="Q8" s="158">
        <f>+'Core Crown Expenditure 93-16'!Q9</f>
        <v>9551</v>
      </c>
      <c r="R8" s="158">
        <f>+'Core Crown Expenditure 93-16'!R9</f>
        <v>11455</v>
      </c>
      <c r="S8" s="158">
        <f>+'Core Crown Expenditure 93-16'!S9</f>
        <v>11724</v>
      </c>
      <c r="T8" s="158">
        <f>+'Core Crown Expenditure 93-16'!T9</f>
        <v>11650</v>
      </c>
      <c r="U8" s="158">
        <f>+'Core Crown Expenditure 93-16'!U9</f>
        <v>11654</v>
      </c>
      <c r="V8" s="158">
        <f>+'Core Crown Expenditure 93-16'!V9</f>
        <v>12504</v>
      </c>
      <c r="W8" s="158">
        <f>+'Core Crown Expenditure 93-16'!W9</f>
        <v>12300</v>
      </c>
      <c r="X8" s="158">
        <f>+'Core Crown Expenditure 93-16'!X9</f>
        <v>12879</v>
      </c>
      <c r="Y8" s="158">
        <f>+'Core Crown Expenditure 93-16'!Y9</f>
        <v>13158</v>
      </c>
      <c r="Z8" s="158">
        <f>+'Core Crown Expenditure 93-16'!Z9</f>
        <v>13376</v>
      </c>
      <c r="AA8" s="158">
        <f>+'Core Crown Expenditure 93-16'!AA9</f>
        <v>13776</v>
      </c>
      <c r="AB8" s="158">
        <f>+'Core Crown Expenditure 93-16'!AB9</f>
        <v>14555</v>
      </c>
      <c r="AC8" s="158">
        <f>+'Core Crown Expenditure 93-16'!AC9</f>
        <v>15116</v>
      </c>
      <c r="AD8" s="158">
        <f>+'Core Crown Expenditure 93-16'!AD9</f>
        <v>15853</v>
      </c>
      <c r="AE8" s="158"/>
    </row>
    <row r="9" spans="1:31" x14ac:dyDescent="0.25">
      <c r="A9" s="24" t="s">
        <v>29</v>
      </c>
      <c r="B9" s="158">
        <f>+'Core Crown Expenditure 93-16'!B11</f>
        <v>3961</v>
      </c>
      <c r="C9" s="158">
        <f>+'Core Crown Expenditure 93-16'!C11</f>
        <v>3788</v>
      </c>
      <c r="D9" s="158">
        <f>+'Core Crown Expenditure 93-16'!D11</f>
        <v>3757</v>
      </c>
      <c r="E9" s="158">
        <f>+'Core Crown Expenditure 93-16'!E11</f>
        <v>3703</v>
      </c>
      <c r="F9" s="158">
        <f>+'Core Crown Expenditure 93-16'!F11</f>
        <v>3072</v>
      </c>
      <c r="G9" s="158">
        <f>+'Core Crown Expenditure 93-16'!G11</f>
        <v>2804</v>
      </c>
      <c r="H9" s="158">
        <f>+'Core Crown Expenditure 93-16'!H11</f>
        <v>2516</v>
      </c>
      <c r="I9" s="158">
        <f>+'Core Crown Expenditure 93-16'!I11</f>
        <v>2373</v>
      </c>
      <c r="J9" s="158">
        <f>+'Core Crown Expenditure 93-16'!J11</f>
        <v>2304</v>
      </c>
      <c r="K9" s="158">
        <f>+'Core Crown Expenditure 93-16'!K11</f>
        <v>2118</v>
      </c>
      <c r="L9" s="158">
        <f>+'Core Crown Expenditure 93-16'!L11</f>
        <v>2360</v>
      </c>
      <c r="M9" s="158">
        <f>+'Core Crown Expenditure 93-16'!M11</f>
        <v>2252</v>
      </c>
      <c r="N9" s="158">
        <f>+'Core Crown Expenditure 93-16'!N11</f>
        <v>2274</v>
      </c>
      <c r="O9" s="158">
        <f>+'Core Crown Expenditure 93-16'!O11</f>
        <v>2356</v>
      </c>
      <c r="P9" s="158">
        <f>+'Core Crown Expenditure 93-16'!P11</f>
        <v>2329</v>
      </c>
      <c r="Q9" s="158">
        <f>+'Core Crown Expenditure 93-16'!Q11</f>
        <v>2460</v>
      </c>
      <c r="R9" s="158">
        <f>+'Core Crown Expenditure 93-16'!R11</f>
        <v>2429</v>
      </c>
      <c r="S9" s="158">
        <f>+'Core Crown Expenditure 93-16'!S11</f>
        <v>2311</v>
      </c>
      <c r="T9" s="158">
        <f>+'Core Crown Expenditure 93-16'!T11</f>
        <v>3066</v>
      </c>
      <c r="U9" s="158">
        <f>+'Core Crown Expenditure 93-16'!U11</f>
        <v>3511</v>
      </c>
      <c r="V9" s="158">
        <f>+'Core Crown Expenditure 93-16'!V11</f>
        <v>3619</v>
      </c>
      <c r="W9" s="158">
        <f>+'Core Crown Expenditure 93-16'!W11</f>
        <v>3620</v>
      </c>
      <c r="X9" s="158">
        <f>+'Core Crown Expenditure 93-16'!X11</f>
        <v>3783</v>
      </c>
      <c r="Y9" s="158">
        <f>+'Core Crown Expenditure 93-16'!Y11</f>
        <v>3590</v>
      </c>
      <c r="Z9" s="158">
        <f>+'Core Crown Expenditure 93-16'!Z11</f>
        <v>3588</v>
      </c>
      <c r="AA9" s="158">
        <f>+'Core Crown Expenditure 93-16'!AA11</f>
        <v>3493</v>
      </c>
      <c r="AB9" s="158">
        <f>+'Core Crown Expenditure 93-16'!AB11</f>
        <v>3403</v>
      </c>
      <c r="AC9" s="158">
        <f>+'Core Crown Expenditure 93-16'!AC11</f>
        <v>3662</v>
      </c>
      <c r="AD9" s="158">
        <f>+'Core Crown Expenditure 93-16'!AD11</f>
        <v>3806</v>
      </c>
      <c r="AE9" s="158"/>
    </row>
    <row r="10" spans="1:31" x14ac:dyDescent="0.25">
      <c r="A10" s="24" t="s">
        <v>30</v>
      </c>
      <c r="B10" s="158">
        <f>+'Core Crown Expenditure 93-16'!B13</f>
        <v>4168</v>
      </c>
      <c r="C10" s="158">
        <f>+'Core Crown Expenditure 93-16'!C13</f>
        <v>4602</v>
      </c>
      <c r="D10" s="158">
        <f>+'Core Crown Expenditure 93-16'!D13</f>
        <v>4886</v>
      </c>
      <c r="E10" s="158">
        <f>+'Core Crown Expenditure 93-16'!E13</f>
        <v>5228</v>
      </c>
      <c r="F10" s="158">
        <f>+'Core Crown Expenditure 93-16'!F13</f>
        <v>5626</v>
      </c>
      <c r="G10" s="158">
        <f>+'Core Crown Expenditure 93-16'!G13</f>
        <v>6001</v>
      </c>
      <c r="H10" s="158">
        <f>+'Core Crown Expenditure 93-16'!H13</f>
        <v>6573</v>
      </c>
      <c r="I10" s="158">
        <f>+'Core Crown Expenditure 93-16'!I13</f>
        <v>6874</v>
      </c>
      <c r="J10" s="158">
        <f>+'Core Crown Expenditure 93-16'!J13</f>
        <v>6660</v>
      </c>
      <c r="K10" s="158">
        <f>+'Core Crown Expenditure 93-16'!K13</f>
        <v>7032</v>
      </c>
      <c r="L10" s="158">
        <f>+'Core Crown Expenditure 93-16'!L13</f>
        <v>7501</v>
      </c>
      <c r="M10" s="158">
        <f>+'Core Crown Expenditure 93-16'!M13</f>
        <v>8111</v>
      </c>
      <c r="N10" s="158">
        <f>+'Core Crown Expenditure 93-16'!N13</f>
        <v>8813</v>
      </c>
      <c r="O10" s="158">
        <f>+'Core Crown Expenditure 93-16'!O13</f>
        <v>9547</v>
      </c>
      <c r="P10" s="158">
        <f>+'Core Crown Expenditure 93-16'!P13</f>
        <v>10355</v>
      </c>
      <c r="Q10" s="158">
        <f>+'Core Crown Expenditure 93-16'!Q13</f>
        <v>11297</v>
      </c>
      <c r="R10" s="158">
        <f>+'Core Crown Expenditure 93-16'!R13</f>
        <v>12368</v>
      </c>
      <c r="S10" s="158">
        <f>+'Core Crown Expenditure 93-16'!S13</f>
        <v>13128</v>
      </c>
      <c r="T10" s="158">
        <f>+'Core Crown Expenditure 93-16'!T13</f>
        <v>13753</v>
      </c>
      <c r="U10" s="158">
        <f>+'Core Crown Expenditure 93-16'!U13</f>
        <v>14160</v>
      </c>
      <c r="V10" s="158">
        <f>+'Core Crown Expenditure 93-16'!V13</f>
        <v>14498</v>
      </c>
      <c r="W10" s="158">
        <f>+'Core Crown Expenditure 93-16'!W13</f>
        <v>14898</v>
      </c>
      <c r="X10" s="158">
        <f>+'Core Crown Expenditure 93-16'!X13</f>
        <v>15058</v>
      </c>
      <c r="Y10" s="158">
        <f>+'Core Crown Expenditure 93-16'!Y13</f>
        <v>15626</v>
      </c>
      <c r="Z10" s="158">
        <f>+'Core Crown Expenditure 93-16'!Z13</f>
        <v>16128.000000000002</v>
      </c>
      <c r="AA10" s="158">
        <f>+'Core Crown Expenditure 93-16'!AA13</f>
        <v>16853</v>
      </c>
      <c r="AB10" s="158">
        <f>+'Core Crown Expenditure 93-16'!AB13</f>
        <v>17716</v>
      </c>
      <c r="AC10" s="158">
        <f>+'Core Crown Expenditure 93-16'!AC13</f>
        <v>18320</v>
      </c>
      <c r="AD10" s="158">
        <f>+'Core Crown Expenditure 93-16'!AD13</f>
        <v>18879</v>
      </c>
      <c r="AE10" s="158"/>
    </row>
    <row r="11" spans="1:31" x14ac:dyDescent="0.25">
      <c r="A11" s="24" t="s">
        <v>31</v>
      </c>
      <c r="B11" s="158">
        <f>+'Core Crown Expenditure 93-16'!B16</f>
        <v>1054</v>
      </c>
      <c r="C11" s="158">
        <f>+'Core Crown Expenditure 93-16'!C16</f>
        <v>1150</v>
      </c>
      <c r="D11" s="158">
        <f>+'Core Crown Expenditure 93-16'!D16</f>
        <v>1190</v>
      </c>
      <c r="E11" s="158">
        <f>+'Core Crown Expenditure 93-16'!E16</f>
        <v>1234</v>
      </c>
      <c r="F11" s="158">
        <f>+'Core Crown Expenditure 93-16'!F16</f>
        <v>1281</v>
      </c>
      <c r="G11" s="158">
        <f>+'Core Crown Expenditure 93-16'!G16</f>
        <v>1345</v>
      </c>
      <c r="H11" s="158">
        <f>+'Core Crown Expenditure 93-16'!H16</f>
        <v>1499</v>
      </c>
      <c r="I11" s="158">
        <f>+'Core Crown Expenditure 93-16'!I16</f>
        <v>1531</v>
      </c>
      <c r="J11" s="158">
        <f>+'Core Crown Expenditure 93-16'!J16</f>
        <v>1541</v>
      </c>
      <c r="K11" s="158">
        <f>+'Core Crown Expenditure 93-16'!K16</f>
        <v>1733</v>
      </c>
      <c r="L11" s="158">
        <f>+'Core Crown Expenditure 93-16'!L16</f>
        <v>1734</v>
      </c>
      <c r="M11" s="158">
        <f>+'Core Crown Expenditure 93-16'!M16</f>
        <v>1843</v>
      </c>
      <c r="N11" s="158">
        <f>+'Core Crown Expenditure 93-16'!N16</f>
        <v>1977</v>
      </c>
      <c r="O11" s="158">
        <f>+'Core Crown Expenditure 93-16'!O16</f>
        <v>2235</v>
      </c>
      <c r="P11" s="158">
        <f>+'Core Crown Expenditure 93-16'!P16</f>
        <v>2699</v>
      </c>
      <c r="Q11" s="158">
        <f>+'Core Crown Expenditure 93-16'!Q16</f>
        <v>2894</v>
      </c>
      <c r="R11" s="158">
        <f>+'Core Crown Expenditure 93-16'!R16</f>
        <v>3089</v>
      </c>
      <c r="S11" s="158">
        <f>+'Core Crown Expenditure 93-16'!S16</f>
        <v>3191</v>
      </c>
      <c r="T11" s="158">
        <f>+'Core Crown Expenditure 93-16'!T16</f>
        <v>3382</v>
      </c>
      <c r="U11" s="158">
        <f>+'Core Crown Expenditure 93-16'!U16</f>
        <v>3403</v>
      </c>
      <c r="V11" s="158">
        <f>+'Core Crown Expenditure 93-16'!V16</f>
        <v>3456</v>
      </c>
      <c r="W11" s="158">
        <f>+'Core Crown Expenditure 93-16'!W16</f>
        <v>3501</v>
      </c>
      <c r="X11" s="158">
        <f>+'Core Crown Expenditure 93-16'!X16</f>
        <v>3515</v>
      </c>
      <c r="Y11" s="158">
        <f>+'Core Crown Expenditure 93-16'!Y16</f>
        <v>3648</v>
      </c>
      <c r="Z11" s="158">
        <f>+'Core Crown Expenditure 93-16'!Z16</f>
        <v>3967</v>
      </c>
      <c r="AA11" s="158">
        <f>+'Core Crown Expenditure 93-16'!AA16</f>
        <v>4062</v>
      </c>
      <c r="AB11" s="158">
        <f>+'Core Crown Expenditure 93-16'!AB16</f>
        <v>4292</v>
      </c>
      <c r="AC11" s="158">
        <f>+'Core Crown Expenditure 93-16'!AC16</f>
        <v>4474</v>
      </c>
      <c r="AD11" s="158">
        <f>+'Core Crown Expenditure 93-16'!AD16</f>
        <v>4669</v>
      </c>
      <c r="AE11" s="158"/>
    </row>
    <row r="12" spans="1:31" x14ac:dyDescent="0.25">
      <c r="A12" s="24" t="s">
        <v>32</v>
      </c>
      <c r="B12" s="40">
        <f>+'Core Crown Expenditure 93-16'!B20-B13</f>
        <v>6909.9506738479895</v>
      </c>
      <c r="C12" s="40">
        <f>+'Core Crown Expenditure 93-16'!C20-C13</f>
        <v>6525.0839454989145</v>
      </c>
      <c r="D12" s="40">
        <f>+'Core Crown Expenditure 93-16'!D20-D13</f>
        <v>6788.9499003460223</v>
      </c>
      <c r="E12" s="40">
        <f>+'Core Crown Expenditure 93-16'!E20-E13</f>
        <v>7220.1084431504578</v>
      </c>
      <c r="F12" s="40">
        <f>+'Core Crown Expenditure 93-16'!F20-F13</f>
        <v>7533.4843993323702</v>
      </c>
      <c r="G12" s="40">
        <f>+'Core Crown Expenditure 93-16'!G20-G13</f>
        <v>7403</v>
      </c>
      <c r="H12" s="40">
        <f>+'Core Crown Expenditure 93-16'!H20-H13</f>
        <v>7835</v>
      </c>
      <c r="I12" s="40">
        <f>+'Core Crown Expenditure 93-16'!I20-I13</f>
        <v>7828</v>
      </c>
      <c r="J12" s="40">
        <f>+'Core Crown Expenditure 93-16'!J20-J13</f>
        <v>7934</v>
      </c>
      <c r="K12" s="40">
        <f>+'Core Crown Expenditure 93-16'!K20-K13</f>
        <v>8035</v>
      </c>
      <c r="L12" s="40">
        <f>+'Core Crown Expenditure 93-16'!L20-L13</f>
        <v>8265</v>
      </c>
      <c r="M12" s="40">
        <f>+'Core Crown Expenditure 93-16'!M20-M13</f>
        <v>8363</v>
      </c>
      <c r="N12" s="40">
        <f>+'Core Crown Expenditure 93-16'!N20-N13</f>
        <v>8599</v>
      </c>
      <c r="O12" s="40">
        <f>+'Core Crown Expenditure 93-16'!O20-O13</f>
        <v>9184</v>
      </c>
      <c r="P12" s="40">
        <f>+'Core Crown Expenditure 93-16'!P20-P13</f>
        <v>9958</v>
      </c>
      <c r="Q12" s="40">
        <f>+'Core Crown Expenditure 93-16'!Q20-Q13</f>
        <v>10529</v>
      </c>
      <c r="R12" s="40">
        <f>+'Core Crown Expenditure 93-16'!R20-R13</f>
        <v>11638</v>
      </c>
      <c r="S12" s="40">
        <f>+'Core Crown Expenditure 93-16'!S20-S13</f>
        <v>12895</v>
      </c>
      <c r="T12" s="40">
        <f>+'Core Crown Expenditure 93-16'!T20-T13</f>
        <v>13175</v>
      </c>
      <c r="U12" s="40">
        <f>+'Core Crown Expenditure 93-16'!U20-U13</f>
        <v>12444</v>
      </c>
      <c r="V12" s="40">
        <f>+'Core Crown Expenditure 93-16'!V20-V13</f>
        <v>12506</v>
      </c>
      <c r="W12" s="40">
        <f>+'Core Crown Expenditure 93-16'!W20-W13</f>
        <v>12368</v>
      </c>
      <c r="X12" s="40">
        <f>+'Core Crown Expenditure 93-16'!X20-X13</f>
        <v>11932</v>
      </c>
      <c r="Y12" s="40">
        <f>+'Core Crown Expenditure 93-16'!Y20-Y13</f>
        <v>11814</v>
      </c>
      <c r="Z12" s="40">
        <f>+'Core Crown Expenditure 93-16'!Z20-Z13</f>
        <v>12362</v>
      </c>
      <c r="AA12" s="40">
        <f>+'Core Crown Expenditure 93-16'!AA20-AA13</f>
        <v>12651</v>
      </c>
      <c r="AB12" s="40">
        <f>+'Core Crown Expenditure 93-16'!AB20-AB13</f>
        <v>13188</v>
      </c>
      <c r="AC12" s="40">
        <f>+'Core Crown Expenditure 93-16'!AC20-AC13</f>
        <v>13206</v>
      </c>
      <c r="AD12" s="40">
        <f>+'Core Crown Expenditure 93-16'!AD20-AD13</f>
        <v>13395</v>
      </c>
      <c r="AE12" s="40"/>
    </row>
    <row r="13" spans="1:31" x14ac:dyDescent="0.25">
      <c r="A13" s="32" t="s">
        <v>33</v>
      </c>
      <c r="B13" s="40">
        <f>+'NZ SUPER'!B3</f>
        <v>5161.0493261520105</v>
      </c>
      <c r="C13" s="40">
        <f>+'NZ SUPER'!C3</f>
        <v>4953.9160545010855</v>
      </c>
      <c r="D13" s="40">
        <f>+'NZ SUPER'!D3</f>
        <v>4935.0500996539777</v>
      </c>
      <c r="E13" s="40">
        <f>+'NZ SUPER'!E3</f>
        <v>5019.8915568495422</v>
      </c>
      <c r="F13" s="40">
        <f>+'NZ SUPER'!F3</f>
        <v>5086.5156006676298</v>
      </c>
      <c r="G13" s="40">
        <f>+'NZ SUPER'!G3</f>
        <v>5106</v>
      </c>
      <c r="H13" s="40">
        <f>+'NZ SUPER'!H3</f>
        <v>5071</v>
      </c>
      <c r="I13" s="40">
        <f>+'NZ SUPER'!I3</f>
        <v>5068</v>
      </c>
      <c r="J13" s="40">
        <f>+'NZ SUPER'!J3</f>
        <v>5273</v>
      </c>
      <c r="K13" s="40">
        <f>+'NZ SUPER'!K3</f>
        <v>5450</v>
      </c>
      <c r="L13" s="40">
        <f>+'NZ SUPER'!L3</f>
        <v>5642</v>
      </c>
      <c r="M13" s="40">
        <f>+'NZ SUPER'!M3</f>
        <v>5889</v>
      </c>
      <c r="N13" s="40">
        <f>+'NZ SUPER'!N3</f>
        <v>6083</v>
      </c>
      <c r="O13" s="40">
        <f>+'NZ SUPER'!O3</f>
        <v>6414</v>
      </c>
      <c r="P13" s="40">
        <f>+'NZ SUPER'!P3</f>
        <v>6810</v>
      </c>
      <c r="Q13" s="40">
        <f>+'NZ SUPER'!Q3</f>
        <v>7348</v>
      </c>
      <c r="R13" s="40">
        <f>+'NZ SUPER'!R3</f>
        <v>7744</v>
      </c>
      <c r="S13" s="40">
        <f>+'NZ SUPER'!S3</f>
        <v>8290</v>
      </c>
      <c r="T13" s="40">
        <f>+'NZ SUPER'!T3</f>
        <v>8830</v>
      </c>
      <c r="U13" s="40">
        <f>+'NZ SUPER'!U3</f>
        <v>9584</v>
      </c>
      <c r="V13" s="40">
        <f>+'NZ SUPER'!V3</f>
        <v>10235</v>
      </c>
      <c r="W13" s="40">
        <f>+'NZ SUPER'!W3</f>
        <v>10913</v>
      </c>
      <c r="X13" s="40">
        <f>+'NZ SUPER'!X3</f>
        <v>11591</v>
      </c>
      <c r="Y13" s="40">
        <f>+'NZ SUPER'!Y3</f>
        <v>12267</v>
      </c>
      <c r="Z13" s="40">
        <f>+'NZ SUPER'!Z3</f>
        <v>13044</v>
      </c>
      <c r="AA13" s="40">
        <f>+'NZ SUPER'!AA3</f>
        <v>13671</v>
      </c>
      <c r="AB13" s="40">
        <f>+'NZ SUPER'!AB3</f>
        <v>14357</v>
      </c>
      <c r="AC13" s="40">
        <f>+'NZ SUPER'!AC3</f>
        <v>15164</v>
      </c>
      <c r="AD13" s="40">
        <f>+'NZ SUPER'!AD3</f>
        <v>15924</v>
      </c>
      <c r="AE13" s="40"/>
    </row>
    <row r="14" spans="1:31" x14ac:dyDescent="0.25">
      <c r="A14" s="32" t="s">
        <v>34</v>
      </c>
      <c r="B14" s="158">
        <f t="shared" ref="B14:F14" si="0">+B15-SUM(B6:B13)</f>
        <v>2999</v>
      </c>
      <c r="C14" s="158">
        <f t="shared" si="0"/>
        <v>1221</v>
      </c>
      <c r="D14" s="158">
        <f t="shared" si="0"/>
        <v>1687</v>
      </c>
      <c r="E14" s="158">
        <f t="shared" si="0"/>
        <v>1854</v>
      </c>
      <c r="F14" s="158">
        <f t="shared" si="0"/>
        <v>2406</v>
      </c>
      <c r="G14" s="158">
        <f>+G15-SUM(G6:G13)</f>
        <v>3211</v>
      </c>
      <c r="H14" s="158">
        <f t="shared" ref="H14:Y14" si="1">+H15-SUM(H6:H13)</f>
        <v>3697</v>
      </c>
      <c r="I14" s="158">
        <f t="shared" si="1"/>
        <v>3230</v>
      </c>
      <c r="J14" s="158">
        <f t="shared" si="1"/>
        <v>3811</v>
      </c>
      <c r="K14" s="158">
        <f t="shared" si="1"/>
        <v>4427</v>
      </c>
      <c r="L14" s="158">
        <f t="shared" si="1"/>
        <v>4050</v>
      </c>
      <c r="M14" s="158">
        <f t="shared" si="1"/>
        <v>4437</v>
      </c>
      <c r="N14" s="158">
        <f t="shared" si="1"/>
        <v>5377</v>
      </c>
      <c r="O14" s="158">
        <f t="shared" si="1"/>
        <v>5780</v>
      </c>
      <c r="P14" s="158">
        <f t="shared" si="1"/>
        <v>6250</v>
      </c>
      <c r="Q14" s="158">
        <f t="shared" si="1"/>
        <v>7985</v>
      </c>
      <c r="R14" s="158">
        <f t="shared" si="1"/>
        <v>8229</v>
      </c>
      <c r="S14" s="158">
        <f t="shared" si="1"/>
        <v>7686</v>
      </c>
      <c r="T14" s="158">
        <f t="shared" si="1"/>
        <v>9222</v>
      </c>
      <c r="U14" s="158">
        <f t="shared" si="1"/>
        <v>7156</v>
      </c>
      <c r="V14" s="158">
        <f t="shared" si="1"/>
        <v>7390</v>
      </c>
      <c r="W14" s="158">
        <f t="shared" si="1"/>
        <v>7554</v>
      </c>
      <c r="X14" s="158">
        <f t="shared" si="1"/>
        <v>7510</v>
      </c>
      <c r="Y14" s="158">
        <f t="shared" si="1"/>
        <v>7698</v>
      </c>
      <c r="Z14" s="158">
        <f t="shared" ref="Z14:AA14" si="2">+Z15-SUM(Z6:Z13)</f>
        <v>8752.0000000000146</v>
      </c>
      <c r="AA14" s="158">
        <f t="shared" si="2"/>
        <v>8946</v>
      </c>
      <c r="AB14" s="158">
        <f t="shared" ref="AB14:AD14" si="3">+AB15-SUM(AB6:AB13)</f>
        <v>9037.0000000000146</v>
      </c>
      <c r="AC14" s="158">
        <f t="shared" si="3"/>
        <v>9185.0000000000146</v>
      </c>
      <c r="AD14" s="158">
        <f t="shared" si="3"/>
        <v>9465</v>
      </c>
      <c r="AE14" s="158"/>
    </row>
    <row r="15" spans="1:31" x14ac:dyDescent="0.25">
      <c r="A15" s="36" t="s">
        <v>35</v>
      </c>
      <c r="B15" s="158">
        <f>+'Core Crown Expenditure 93-16'!B22</f>
        <v>31429</v>
      </c>
      <c r="C15" s="158">
        <f>+'Core Crown Expenditure 93-16'!C22</f>
        <v>29639</v>
      </c>
      <c r="D15" s="158">
        <f>+'Core Crown Expenditure 93-16'!D22</f>
        <v>30400</v>
      </c>
      <c r="E15" s="158">
        <f>+'Core Crown Expenditure 93-16'!E22</f>
        <v>31743</v>
      </c>
      <c r="F15" s="158">
        <f>+'Core Crown Expenditure 93-16'!F22</f>
        <v>32953</v>
      </c>
      <c r="G15" s="158">
        <f>+'Core Crown Expenditure 93-16'!G22</f>
        <v>34211</v>
      </c>
      <c r="H15" s="158">
        <f>+'Core Crown Expenditure 93-16'!H22</f>
        <v>35825</v>
      </c>
      <c r="I15" s="158">
        <f>+'Core Crown Expenditure 93-16'!I22</f>
        <v>36171</v>
      </c>
      <c r="J15" s="158">
        <f>+'Core Crown Expenditure 93-16'!J22</f>
        <v>36699</v>
      </c>
      <c r="K15" s="158">
        <f>+'Core Crown Expenditure 93-16'!K22</f>
        <v>37970</v>
      </c>
      <c r="L15" s="158">
        <f>+'Core Crown Expenditure 93-16'!L22</f>
        <v>39897</v>
      </c>
      <c r="M15" s="158">
        <f>+'Core Crown Expenditure 93-16'!M22</f>
        <v>41882</v>
      </c>
      <c r="N15" s="158">
        <f>+'Core Crown Expenditure 93-16'!N22</f>
        <v>44895</v>
      </c>
      <c r="O15" s="158">
        <f>+'Core Crown Expenditure 93-16'!O22</f>
        <v>49320</v>
      </c>
      <c r="P15" s="158">
        <f>+'Core Crown Expenditure 93-16'!P22</f>
        <v>54003</v>
      </c>
      <c r="Q15" s="158">
        <f>+'Core Crown Expenditure 93-16'!Q22</f>
        <v>56997</v>
      </c>
      <c r="R15" s="158">
        <f>+'Core Crown Expenditure 93-16'!R22</f>
        <v>64002</v>
      </c>
      <c r="S15" s="158">
        <f>+'Core Crown Expenditure 93-16'!S22</f>
        <v>64013</v>
      </c>
      <c r="T15" s="158">
        <f>+'Core Crown Expenditure 93-16'!T22</f>
        <v>70450</v>
      </c>
      <c r="U15" s="158">
        <f>+'Core Crown Expenditure 93-16'!U22</f>
        <v>69076</v>
      </c>
      <c r="V15" s="158">
        <f>+'Core Crown Expenditure 93-16'!V22</f>
        <v>70306</v>
      </c>
      <c r="W15" s="158">
        <f>+'Core Crown Expenditure 93-16'!W22</f>
        <v>71467</v>
      </c>
      <c r="X15" s="158">
        <f>+'Core Crown Expenditure 93-16'!X22</f>
        <v>72363</v>
      </c>
      <c r="Y15" s="158">
        <f>+'Core Crown Expenditure 93-16'!Y22</f>
        <v>73929</v>
      </c>
      <c r="Z15" s="158">
        <f>+'Core Crown Expenditure 93-16'!Z22</f>
        <v>77464.000000000015</v>
      </c>
      <c r="AA15" s="158">
        <f>+'Core Crown Expenditure 93-16'!AA22</f>
        <v>80486</v>
      </c>
      <c r="AB15" s="158">
        <f>+'Core Crown Expenditure 93-16'!AB22</f>
        <v>83466.000000000015</v>
      </c>
      <c r="AC15" s="158">
        <f>+'Core Crown Expenditure 93-16'!AC22</f>
        <v>86234.000000000015</v>
      </c>
      <c r="AD15" s="158">
        <f>+'Core Crown Expenditure 93-16'!AD22</f>
        <v>89223</v>
      </c>
      <c r="AE15" s="158"/>
    </row>
    <row r="16" spans="1:31" x14ac:dyDescent="0.25">
      <c r="A16" s="28"/>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row>
    <row r="17" spans="1:1" x14ac:dyDescent="0.25">
      <c r="A17" s="28" t="s">
        <v>36</v>
      </c>
    </row>
    <row r="18" spans="1:1" x14ac:dyDescent="0.25">
      <c r="A18" s="158" t="s">
        <v>37</v>
      </c>
    </row>
    <row r="19" spans="1:1" x14ac:dyDescent="0.25">
      <c r="A19" s="158" t="s">
        <v>38</v>
      </c>
    </row>
    <row r="20" spans="1:1" x14ac:dyDescent="0.25">
      <c r="A20" s="158" t="s">
        <v>39</v>
      </c>
    </row>
    <row r="21" spans="1:1" x14ac:dyDescent="0.25">
      <c r="A21" s="41" t="s">
        <v>40</v>
      </c>
    </row>
    <row r="23" spans="1:1" x14ac:dyDescent="0.25">
      <c r="A23" s="158" t="s">
        <v>41</v>
      </c>
    </row>
    <row r="24" spans="1:1" x14ac:dyDescent="0.25">
      <c r="A24" s="41" t="s">
        <v>42</v>
      </c>
    </row>
    <row r="25" spans="1:1" x14ac:dyDescent="0.25">
      <c r="A25" s="41" t="s">
        <v>43</v>
      </c>
    </row>
    <row r="26" spans="1:1" x14ac:dyDescent="0.25">
      <c r="A26" s="41" t="s">
        <v>44</v>
      </c>
    </row>
    <row r="27" spans="1:1" x14ac:dyDescent="0.25">
      <c r="A27" s="158" t="s">
        <v>45</v>
      </c>
    </row>
    <row r="28" spans="1:1" x14ac:dyDescent="0.25">
      <c r="A28" s="158" t="s">
        <v>46</v>
      </c>
    </row>
    <row r="29" spans="1:1" x14ac:dyDescent="0.25">
      <c r="A29" s="158" t="s">
        <v>47</v>
      </c>
    </row>
    <row r="30" spans="1:1" x14ac:dyDescent="0.25">
      <c r="A30" s="158" t="s">
        <v>48</v>
      </c>
    </row>
    <row r="31" spans="1:1" x14ac:dyDescent="0.25">
      <c r="A31" s="158" t="s">
        <v>49</v>
      </c>
    </row>
  </sheetData>
  <mergeCells count="1">
    <mergeCell ref="A2:A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Y45"/>
  <sheetViews>
    <sheetView topLeftCell="A16" workbookViewId="0">
      <selection activeCell="A36" sqref="A36"/>
    </sheetView>
  </sheetViews>
  <sheetFormatPr defaultColWidth="9.140625" defaultRowHeight="15" x14ac:dyDescent="0.25"/>
  <cols>
    <col min="1" max="1" width="42.28515625" style="86" customWidth="1"/>
    <col min="2" max="5" width="9.140625" style="86"/>
    <col min="6" max="8" width="10.5703125" style="86" customWidth="1"/>
    <col min="9" max="10" width="10.7109375" style="86" customWidth="1"/>
    <col min="11" max="22" width="10.5703125" style="86" customWidth="1"/>
    <col min="23" max="23" width="10.7109375" style="86" customWidth="1"/>
    <col min="24" max="24" width="10.5703125" style="86" customWidth="1"/>
    <col min="25" max="16384" width="9.140625" style="86"/>
  </cols>
  <sheetData>
    <row r="1" spans="1:25" x14ac:dyDescent="0.25">
      <c r="A1" s="86" t="s">
        <v>50</v>
      </c>
      <c r="B1" s="87"/>
      <c r="C1" s="87"/>
      <c r="D1" s="87"/>
      <c r="E1" s="87"/>
      <c r="F1" s="87"/>
      <c r="G1" s="87"/>
      <c r="H1" s="87"/>
      <c r="I1" s="87"/>
      <c r="J1" s="87"/>
      <c r="K1" s="87"/>
      <c r="L1" s="87"/>
      <c r="M1" s="87"/>
      <c r="N1" s="87"/>
      <c r="O1" s="87"/>
      <c r="P1" s="87"/>
      <c r="Q1" s="87"/>
      <c r="R1" s="87"/>
      <c r="S1" s="87"/>
      <c r="T1" s="87"/>
      <c r="U1" s="87"/>
      <c r="V1" s="87"/>
      <c r="W1" s="87"/>
      <c r="X1" s="87"/>
      <c r="Y1" s="87"/>
    </row>
    <row r="2" spans="1:25" s="91" customFormat="1" x14ac:dyDescent="0.25">
      <c r="A2" s="189" t="s">
        <v>86</v>
      </c>
      <c r="B2" s="88">
        <v>36312</v>
      </c>
      <c r="C2" s="89">
        <v>36678</v>
      </c>
      <c r="D2" s="89">
        <v>37043</v>
      </c>
      <c r="E2" s="89">
        <v>37408</v>
      </c>
      <c r="F2" s="89">
        <v>37773</v>
      </c>
      <c r="G2" s="89">
        <v>38139</v>
      </c>
      <c r="H2" s="89">
        <v>38504</v>
      </c>
      <c r="I2" s="89">
        <v>38869</v>
      </c>
      <c r="J2" s="89">
        <v>39234</v>
      </c>
      <c r="K2" s="89">
        <v>39600</v>
      </c>
      <c r="L2" s="89">
        <v>39965</v>
      </c>
      <c r="M2" s="89">
        <v>40330</v>
      </c>
      <c r="N2" s="89">
        <v>40695</v>
      </c>
      <c r="O2" s="89">
        <v>41061</v>
      </c>
      <c r="P2" s="89">
        <v>41426</v>
      </c>
      <c r="Q2" s="89">
        <v>41791</v>
      </c>
      <c r="R2" s="89">
        <v>42156</v>
      </c>
      <c r="S2" s="89">
        <v>42522</v>
      </c>
      <c r="T2" s="89"/>
      <c r="U2" s="89"/>
      <c r="V2" s="89"/>
      <c r="W2" s="89"/>
      <c r="X2" s="89"/>
      <c r="Y2" s="89"/>
    </row>
    <row r="3" spans="1:25" x14ac:dyDescent="0.25">
      <c r="A3" s="190"/>
      <c r="B3" s="92" t="s">
        <v>24</v>
      </c>
      <c r="C3" s="93" t="s">
        <v>24</v>
      </c>
      <c r="D3" s="93" t="s">
        <v>24</v>
      </c>
      <c r="E3" s="93" t="s">
        <v>24</v>
      </c>
      <c r="F3" s="93" t="s">
        <v>24</v>
      </c>
      <c r="G3" s="93" t="s">
        <v>24</v>
      </c>
      <c r="H3" s="93" t="s">
        <v>24</v>
      </c>
      <c r="I3" s="93" t="s">
        <v>24</v>
      </c>
      <c r="J3" s="93" t="s">
        <v>24</v>
      </c>
      <c r="K3" s="93" t="s">
        <v>24</v>
      </c>
      <c r="L3" s="93" t="s">
        <v>24</v>
      </c>
      <c r="M3" s="93" t="s">
        <v>24</v>
      </c>
      <c r="N3" s="93" t="s">
        <v>24</v>
      </c>
      <c r="O3" s="93" t="s">
        <v>24</v>
      </c>
      <c r="P3" s="93" t="s">
        <v>24</v>
      </c>
      <c r="Q3" s="94" t="s">
        <v>24</v>
      </c>
      <c r="R3" s="94" t="s">
        <v>24</v>
      </c>
      <c r="S3" s="94" t="s">
        <v>24</v>
      </c>
      <c r="T3" s="94"/>
      <c r="U3" s="94"/>
      <c r="V3" s="94"/>
      <c r="W3" s="93"/>
      <c r="X3" s="93"/>
      <c r="Y3" s="93"/>
    </row>
    <row r="4" spans="1:25" x14ac:dyDescent="0.25">
      <c r="A4" s="190"/>
      <c r="B4" s="92" t="s">
        <v>51</v>
      </c>
      <c r="C4" s="92" t="s">
        <v>51</v>
      </c>
      <c r="D4" s="92" t="s">
        <v>51</v>
      </c>
      <c r="E4" s="92" t="s">
        <v>51</v>
      </c>
      <c r="F4" s="92" t="s">
        <v>51</v>
      </c>
      <c r="G4" s="92" t="s">
        <v>51</v>
      </c>
      <c r="H4" s="92" t="s">
        <v>51</v>
      </c>
      <c r="I4" s="92" t="s">
        <v>51</v>
      </c>
      <c r="J4" s="92" t="s">
        <v>51</v>
      </c>
      <c r="K4" s="92" t="s">
        <v>51</v>
      </c>
      <c r="L4" s="92" t="s">
        <v>51</v>
      </c>
      <c r="M4" s="92" t="s">
        <v>51</v>
      </c>
      <c r="N4" s="92" t="s">
        <v>51</v>
      </c>
      <c r="O4" s="92" t="s">
        <v>51</v>
      </c>
      <c r="P4" s="92" t="s">
        <v>51</v>
      </c>
      <c r="Q4" s="92" t="s">
        <v>51</v>
      </c>
      <c r="R4" s="92" t="s">
        <v>51</v>
      </c>
      <c r="S4" s="92" t="s">
        <v>51</v>
      </c>
      <c r="T4" s="92"/>
      <c r="U4" s="92"/>
      <c r="V4" s="92"/>
      <c r="W4" s="92"/>
      <c r="X4" s="92"/>
      <c r="Y4" s="92"/>
    </row>
    <row r="5" spans="1:25" s="98" customFormat="1" ht="15.75" customHeight="1" x14ac:dyDescent="0.25">
      <c r="A5" s="95"/>
      <c r="B5" s="96"/>
      <c r="C5" s="97"/>
      <c r="D5" s="97"/>
      <c r="E5" s="97"/>
      <c r="F5" s="97"/>
      <c r="G5" s="97"/>
      <c r="H5" s="97"/>
      <c r="I5" s="97"/>
      <c r="J5" s="97"/>
      <c r="K5" s="97"/>
      <c r="L5" s="97"/>
      <c r="M5" s="97"/>
      <c r="N5" s="97"/>
      <c r="O5" s="97"/>
      <c r="P5" s="97"/>
      <c r="Q5" s="97"/>
      <c r="R5" s="97"/>
      <c r="S5" s="97"/>
      <c r="T5" s="97"/>
      <c r="U5" s="97"/>
      <c r="V5" s="97"/>
      <c r="W5" s="97"/>
      <c r="X5" s="97"/>
      <c r="Y5" s="97"/>
    </row>
    <row r="6" spans="1:25" s="101" customFormat="1" x14ac:dyDescent="0.25">
      <c r="A6" s="99" t="str">
        <f>+'Total crown'!A3</f>
        <v>Tax revenue</v>
      </c>
      <c r="B6" s="100">
        <f>IFERROR('Real (total)'!B3*1000000/Population!J$2,0)</f>
        <v>12094.029992106354</v>
      </c>
      <c r="C6" s="100">
        <f>IFERROR('Real (total)'!C3*1000000/Population!K$2,0)</f>
        <v>12476.214866419094</v>
      </c>
      <c r="D6" s="100">
        <f>IFERROR('Real (total)'!D3*1000000/Population!L$2,0)</f>
        <v>12967.657198225135</v>
      </c>
      <c r="E6" s="100">
        <f>IFERROR('Real (total)'!E3*1000000/Population!M$2,0)</f>
        <v>12226.8560817506</v>
      </c>
      <c r="F6" s="100">
        <f>IFERROR('Real (total)'!F3*1000000/Population!N$2,0)</f>
        <v>12977.754011223424</v>
      </c>
      <c r="G6" s="100">
        <f>IFERROR('Real (total)'!G3*1000000/Population!O$2,0)</f>
        <v>13352.956741460823</v>
      </c>
      <c r="H6" s="100">
        <f>IFERROR('Real (total)'!H3*1000000/Population!P$2,0)</f>
        <v>14068.757289444777</v>
      </c>
      <c r="I6" s="100">
        <f>IFERROR('Real (total)'!I3*1000000/Population!Q$2,0)</f>
        <v>15000.896136575993</v>
      </c>
      <c r="J6" s="100">
        <f>IFERROR('Real (total)'!J3*1000000/Population!R$2,0)</f>
        <v>14744.806882803881</v>
      </c>
      <c r="K6" s="100">
        <f>IFERROR('Real (total)'!K3*1000000/Population!S$2,0)</f>
        <v>14967.359628869379</v>
      </c>
      <c r="L6" s="100">
        <f>IFERROR('Real (total)'!L3*1000000/Population!T$2,0)</f>
        <v>13969.599220316877</v>
      </c>
      <c r="M6" s="100">
        <f>IFERROR('Real (total)'!M3*1000000/Population!U$2,0)</f>
        <v>12635.749514932002</v>
      </c>
      <c r="N6" s="100">
        <f>IFERROR('Real (total)'!N3*1000000/Population!V$2,0)</f>
        <v>12095.92591146015</v>
      </c>
      <c r="O6" s="100">
        <f>IFERROR('Real (total)'!O3*1000000/Population!W$2,0)</f>
        <v>12741.135675043151</v>
      </c>
      <c r="P6" s="100">
        <f>IFERROR('Real (total)'!P3*1000000/Population!X$2,0)</f>
        <v>13354.136143550419</v>
      </c>
      <c r="Q6" s="100">
        <f>IFERROR('Real (total)'!Q3*1000000/Population!Y$2,0)</f>
        <v>13556.081204999098</v>
      </c>
      <c r="R6" s="100">
        <f>IFERROR('Real (total)'!R3*1000000/Population!Z$2,0)</f>
        <v>14373.062068215198</v>
      </c>
      <c r="S6" s="100">
        <f>IFERROR('Total crown'!S3*1000000/Population!AA$2,0)</f>
        <v>0</v>
      </c>
      <c r="T6" s="100"/>
      <c r="U6" s="100"/>
      <c r="V6" s="100"/>
      <c r="W6" s="100"/>
      <c r="X6" s="100"/>
      <c r="Y6" s="100"/>
    </row>
    <row r="7" spans="1:25" s="102" customFormat="1" x14ac:dyDescent="0.25">
      <c r="A7" s="99" t="str">
        <f>+'Total crown'!A4</f>
        <v>Other revenue</v>
      </c>
      <c r="B7" s="100">
        <f>IFERROR('Real (total)'!B4*1000000/Population!J$2,0)</f>
        <v>2937.2182822067334</v>
      </c>
      <c r="C7" s="100">
        <f>IFERROR('Real (total)'!C4*1000000/Population!K$2,0)</f>
        <v>2777.3283460222747</v>
      </c>
      <c r="D7" s="100">
        <f>IFERROR('Real (total)'!D4*1000000/Population!L$2,0)</f>
        <v>2952.6514152939012</v>
      </c>
      <c r="E7" s="100">
        <f>IFERROR('Real (total)'!E4*1000000/Population!M$2,0)</f>
        <v>4636.4011194479308</v>
      </c>
      <c r="F7" s="100">
        <f>IFERROR('Real (total)'!F4*1000000/Population!N$2,0)</f>
        <v>5488.435113149254</v>
      </c>
      <c r="G7" s="100">
        <f>IFERROR('Real (total)'!G4*1000000/Population!O$2,0)</f>
        <v>5255.1861347654785</v>
      </c>
      <c r="H7" s="100">
        <f>IFERROR('Real (total)'!H4*1000000/Population!P$2,0)</f>
        <v>5584.4734719405133</v>
      </c>
      <c r="I7" s="100">
        <f>IFERROR('Real (total)'!I4*1000000/Population!Q$2,0)</f>
        <v>5413.5252101141559</v>
      </c>
      <c r="J7" s="100">
        <f>IFERROR('Real (total)'!J4*1000000/Population!R$2,0)</f>
        <v>5963.6000636161907</v>
      </c>
      <c r="K7" s="100">
        <f>IFERROR('Real (total)'!K4*1000000/Population!S$2,0)</f>
        <v>6601.3883213754953</v>
      </c>
      <c r="L7" s="100">
        <f>IFERROR('Real (total)'!L4*1000000/Population!T$2,0)</f>
        <v>6468.1476120296275</v>
      </c>
      <c r="M7" s="100">
        <f>IFERROR('Real (total)'!M4*1000000/Population!U$2,0)</f>
        <v>6003.0288328531688</v>
      </c>
      <c r="N7" s="100">
        <f>IFERROR('Real (total)'!N4*1000000/Population!V$2,0)</f>
        <v>7117.310184641824</v>
      </c>
      <c r="O7" s="100">
        <f>IFERROR('Real (total)'!O4*1000000/Population!W$2,0)</f>
        <v>6684.8717149165395</v>
      </c>
      <c r="P7" s="100">
        <f>IFERROR('Real (total)'!P4*1000000/Population!X$2,0)</f>
        <v>6472.6234925657982</v>
      </c>
      <c r="Q7" s="100">
        <f>IFERROR('Real (total)'!Q4*1000000/Population!Y$2,0)</f>
        <v>6306.0861664214999</v>
      </c>
      <c r="R7" s="100">
        <f>IFERROR('Real (total)'!R4*1000000/Population!Z$2,0)</f>
        <v>6301.0390034270795</v>
      </c>
      <c r="S7" s="100">
        <f>IFERROR('Total crown'!S4*1000000/Population!AA$2,0)</f>
        <v>0</v>
      </c>
      <c r="T7" s="100"/>
      <c r="U7" s="100"/>
      <c r="V7" s="100"/>
      <c r="W7" s="100"/>
      <c r="X7" s="100"/>
      <c r="Y7" s="100"/>
    </row>
    <row r="8" spans="1:25" s="102" customFormat="1" x14ac:dyDescent="0.25">
      <c r="A8" s="99" t="str">
        <f>+'Total crown'!A5</f>
        <v>Total Revenue</v>
      </c>
      <c r="B8" s="100">
        <f>IFERROR('Real (total)'!B5*1000000/Population!J$2,0)</f>
        <v>15031.248274313088</v>
      </c>
      <c r="C8" s="100">
        <f>IFERROR('Real (total)'!C5*1000000/Population!K$2,0)</f>
        <v>15253.543212441367</v>
      </c>
      <c r="D8" s="100">
        <f>IFERROR('Real (total)'!D5*1000000/Population!L$2,0)</f>
        <v>15920.308613519039</v>
      </c>
      <c r="E8" s="100">
        <f>IFERROR('Real (total)'!E5*1000000/Population!M$2,0)</f>
        <v>16863.257201198532</v>
      </c>
      <c r="F8" s="100">
        <f>IFERROR('Real (total)'!F5*1000000/Population!N$2,0)</f>
        <v>18466.189124372679</v>
      </c>
      <c r="G8" s="100">
        <f>IFERROR('Real (total)'!G5*1000000/Population!O$2,0)</f>
        <v>18608.142876226302</v>
      </c>
      <c r="H8" s="100">
        <f>IFERROR('Real (total)'!H5*1000000/Population!P$2,0)</f>
        <v>19653.23076138529</v>
      </c>
      <c r="I8" s="100">
        <f>IFERROR('Real (total)'!I5*1000000/Population!Q$2,0)</f>
        <v>20414.421346690149</v>
      </c>
      <c r="J8" s="100">
        <f>IFERROR('Real (total)'!J5*1000000/Population!R$2,0)</f>
        <v>20708.406946420073</v>
      </c>
      <c r="K8" s="100">
        <f>IFERROR('Real (total)'!K5*1000000/Population!S$2,0)</f>
        <v>21568.747950244873</v>
      </c>
      <c r="L8" s="100">
        <f>IFERROR('Real (total)'!L5*1000000/Population!T$2,0)</f>
        <v>20437.746832346504</v>
      </c>
      <c r="M8" s="100">
        <f>IFERROR('Real (total)'!M5*1000000/Population!U$2,0)</f>
        <v>18638.77834778517</v>
      </c>
      <c r="N8" s="100">
        <f>IFERROR('Real (total)'!N5*1000000/Population!V$2,0)</f>
        <v>19213.236096101977</v>
      </c>
      <c r="O8" s="100">
        <f>IFERROR('Real (total)'!O5*1000000/Population!W$2,0)</f>
        <v>19426.00738995969</v>
      </c>
      <c r="P8" s="100">
        <f>IFERROR('Real (total)'!P5*1000000/Population!X$2,0)</f>
        <v>19826.759636116214</v>
      </c>
      <c r="Q8" s="100">
        <f>IFERROR('Real (total)'!Q5*1000000/Population!Y$2,0)</f>
        <v>19862.167371420597</v>
      </c>
      <c r="R8" s="100">
        <f>IFERROR('Real (total)'!R5*1000000/Population!Z$2,0)</f>
        <v>20674.101071642279</v>
      </c>
      <c r="S8" s="100">
        <f>IFERROR('Total crown'!S5*1000000/Population!AA$2,0)</f>
        <v>0</v>
      </c>
      <c r="T8" s="100"/>
      <c r="U8" s="100"/>
      <c r="V8" s="100"/>
      <c r="W8" s="100"/>
      <c r="X8" s="100"/>
      <c r="Y8" s="100"/>
    </row>
    <row r="9" spans="1:25" s="102" customFormat="1" x14ac:dyDescent="0.25">
      <c r="A9" s="99" t="str">
        <f>+'Total crown'!A6</f>
        <v>Expenses</v>
      </c>
      <c r="B9" s="100">
        <f>IFERROR('Real (total)'!B6*1000000/Population!J$2,0)</f>
        <v>14983.106843818327</v>
      </c>
      <c r="C9" s="100">
        <f>IFERROR('Real (total)'!C6*1000000/Population!K$2,0)</f>
        <v>15035.954506097631</v>
      </c>
      <c r="D9" s="100">
        <f>IFERROR('Real (total)'!D6*1000000/Population!L$2,0)</f>
        <v>15418.514358918837</v>
      </c>
      <c r="E9" s="100">
        <f>IFERROR('Real (total)'!E6*1000000/Population!M$2,0)</f>
        <v>16028.929075104128</v>
      </c>
      <c r="F9" s="100">
        <f>IFERROR('Real (total)'!F6*1000000/Population!N$2,0)</f>
        <v>17042.043968130754</v>
      </c>
      <c r="G9" s="100">
        <f>IFERROR('Real (total)'!G6*1000000/Population!O$2,0)</f>
        <v>16858.457959092808</v>
      </c>
      <c r="H9" s="100">
        <f>IFERROR('Real (total)'!H6*1000000/Population!P$2,0)</f>
        <v>17518.656527824631</v>
      </c>
      <c r="I9" s="100">
        <f>IFERROR('Real (total)'!I6*1000000/Population!Q$2,0)</f>
        <v>18380.979919371603</v>
      </c>
      <c r="J9" s="100">
        <f>IFERROR('Real (total)'!J6*1000000/Population!R$2,0)</f>
        <v>19076.222724627962</v>
      </c>
      <c r="K9" s="100">
        <f>IFERROR('Real (total)'!K6*1000000/Population!S$2,0)</f>
        <v>20072.065089464049</v>
      </c>
      <c r="L9" s="100">
        <f>IFERROR('Real (total)'!L6*1000000/Population!T$2,0)</f>
        <v>21442.154437198176</v>
      </c>
      <c r="M9" s="100">
        <f>IFERROR('Real (total)'!M6*1000000/Population!U$2,0)</f>
        <v>20223.674333381045</v>
      </c>
      <c r="N9" s="100">
        <f>IFERROR('Real (total)'!N6*1000000/Population!V$2,0)</f>
        <v>23565.384685274661</v>
      </c>
      <c r="O9" s="100">
        <f>IFERROR('Real (total)'!O6*1000000/Population!W$2,0)</f>
        <v>21579.635737849541</v>
      </c>
      <c r="P9" s="100">
        <f>IFERROR('Real (total)'!P6*1000000/Population!X$2,0)</f>
        <v>20826.470657149199</v>
      </c>
      <c r="Q9" s="100">
        <f>IFERROR('Real (total)'!Q6*1000000/Population!Y$2,0)</f>
        <v>20450.690879113114</v>
      </c>
      <c r="R9" s="100">
        <f>IFERROR('Real (total)'!R6*1000000/Population!Z$2,0)</f>
        <v>20512.865147146822</v>
      </c>
      <c r="S9" s="100">
        <f>IFERROR('Total crown'!S6*1000000/Population!AA$2,0)</f>
        <v>0</v>
      </c>
      <c r="T9" s="100"/>
      <c r="U9" s="100"/>
      <c r="V9" s="100"/>
      <c r="W9" s="100"/>
      <c r="X9" s="100"/>
      <c r="Y9" s="100"/>
    </row>
    <row r="10" spans="1:25" s="102" customFormat="1" x14ac:dyDescent="0.25">
      <c r="A10" s="99" t="s">
        <v>91</v>
      </c>
      <c r="B10" s="100">
        <f>IFERROR('Real (total)'!B7*1000000/Population!J$2,0)</f>
        <v>48.141430494763448</v>
      </c>
      <c r="C10" s="100">
        <f>IFERROR('Real (total)'!C7*1000000/Population!K$2,0)</f>
        <v>217.58870634373636</v>
      </c>
      <c r="D10" s="100">
        <f>IFERROR('Real (total)'!D7*1000000/Population!L$2,0)</f>
        <v>501.79425460020042</v>
      </c>
      <c r="E10" s="100">
        <f>IFERROR('Real (total)'!E7*1000000/Population!M$2,0)</f>
        <v>834.32812609440361</v>
      </c>
      <c r="F10" s="100">
        <f>IFERROR('Real (total)'!F7*1000000/Population!N$2,0)</f>
        <v>1424.1451562419243</v>
      </c>
      <c r="G10" s="100">
        <f>IFERROR('Real (total)'!G7*1000000/Population!O$2,0)</f>
        <v>1749.6849171334973</v>
      </c>
      <c r="H10" s="100">
        <f>IFERROR('Real (total)'!H7*1000000/Population!P$2,0)</f>
        <v>2134.5742335606628</v>
      </c>
      <c r="I10" s="100">
        <f>IFERROR('Real (total)'!I7*1000000/Population!Q$2,0)</f>
        <v>2033.4414273185441</v>
      </c>
      <c r="J10" s="100">
        <f>IFERROR('Real (total)'!J7*1000000/Population!R$2,0)</f>
        <v>1632.1842217921105</v>
      </c>
      <c r="K10" s="100">
        <f>IFERROR('Real (total)'!K7*1000000/Population!S$2,0)</f>
        <v>1496.6828607808254</v>
      </c>
      <c r="L10" s="100">
        <f>IFERROR('Real (total)'!L7*1000000/Population!T$2,0)</f>
        <v>-1004.4076048516688</v>
      </c>
      <c r="M10" s="100">
        <f>IFERROR('Real (total)'!M7*1000000/Population!U$2,0)</f>
        <v>-1584.8959855958765</v>
      </c>
      <c r="N10" s="100">
        <f>IFERROR('Real (total)'!N7*1000000/Population!V$2,0)</f>
        <v>-4352.1485891726834</v>
      </c>
      <c r="O10" s="100">
        <f>IFERROR('Real (total)'!O7*1000000/Population!W$2,0)</f>
        <v>-2153.6283478898513</v>
      </c>
      <c r="P10" s="100">
        <f>IFERROR('Real (total)'!P7*1000000/Population!X$2,0)</f>
        <v>-1013.9532276745381</v>
      </c>
      <c r="Q10" s="100">
        <f>IFERROR('Real (total)'!Q7*1000000/Population!Y$2,0)</f>
        <v>-653.0985425887867</v>
      </c>
      <c r="R10" s="100">
        <f>IFERROR('Real (total)'!R7*1000000/Population!Z$2,0)</f>
        <v>90.08322907033974</v>
      </c>
      <c r="S10" s="100">
        <f t="shared" ref="S10" si="0">+S8-S9</f>
        <v>0</v>
      </c>
      <c r="T10" s="100"/>
      <c r="U10" s="100"/>
      <c r="V10" s="100"/>
      <c r="W10" s="100"/>
      <c r="X10" s="100"/>
      <c r="Y10" s="100"/>
    </row>
    <row r="11" spans="1:25" s="102" customFormat="1" x14ac:dyDescent="0.25">
      <c r="A11" s="99"/>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row>
    <row r="12" spans="1:25" s="102" customFormat="1" x14ac:dyDescent="0.25">
      <c r="A12" s="99"/>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row>
    <row r="13" spans="1:25" s="102" customFormat="1" x14ac:dyDescent="0.25">
      <c r="A13" s="99"/>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row>
    <row r="14" spans="1:25" s="102" customFormat="1" x14ac:dyDescent="0.25">
      <c r="A14" s="99"/>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row>
    <row r="15" spans="1:25" x14ac:dyDescent="0.25">
      <c r="A15" s="99"/>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row>
    <row r="16" spans="1:25" x14ac:dyDescent="0.25">
      <c r="M16" s="103"/>
      <c r="N16" s="103"/>
      <c r="O16" s="103"/>
      <c r="P16" s="103"/>
      <c r="Q16" s="103"/>
      <c r="R16" s="103"/>
      <c r="S16" s="103"/>
      <c r="T16" s="103"/>
      <c r="U16" s="103"/>
      <c r="V16" s="103"/>
      <c r="W16" s="103"/>
      <c r="X16" s="103"/>
    </row>
    <row r="17" spans="1:25" x14ac:dyDescent="0.25">
      <c r="M17" s="103"/>
      <c r="N17" s="103"/>
      <c r="O17" s="103"/>
      <c r="P17" s="103"/>
      <c r="Q17" s="103"/>
      <c r="R17" s="103"/>
      <c r="S17" s="103"/>
      <c r="T17" s="103"/>
      <c r="U17" s="103"/>
      <c r="V17" s="103"/>
      <c r="W17" s="103"/>
      <c r="X17" s="103"/>
    </row>
    <row r="18" spans="1:25" x14ac:dyDescent="0.25">
      <c r="M18" s="103"/>
      <c r="N18" s="103"/>
      <c r="O18" s="103"/>
      <c r="P18" s="103"/>
      <c r="Q18" s="103"/>
      <c r="R18" s="103"/>
      <c r="S18" s="103"/>
      <c r="T18" s="103"/>
      <c r="U18" s="103"/>
      <c r="V18" s="103"/>
      <c r="W18" s="103"/>
      <c r="X18" s="103"/>
    </row>
    <row r="19" spans="1:25" x14ac:dyDescent="0.25">
      <c r="A19" s="104"/>
      <c r="M19" s="103"/>
      <c r="N19" s="103"/>
      <c r="O19" s="103"/>
      <c r="P19" s="103"/>
      <c r="Q19" s="103"/>
      <c r="R19" s="103"/>
      <c r="S19" s="103"/>
      <c r="T19" s="103"/>
      <c r="U19" s="103"/>
      <c r="V19" s="103"/>
      <c r="W19" s="103"/>
      <c r="X19" s="103"/>
    </row>
    <row r="20" spans="1:25" x14ac:dyDescent="0.25">
      <c r="M20" s="103"/>
      <c r="N20" s="103"/>
      <c r="O20" s="103"/>
      <c r="P20" s="103"/>
      <c r="Q20" s="103"/>
      <c r="R20" s="103"/>
      <c r="S20" s="103"/>
      <c r="T20" s="103"/>
      <c r="U20" s="103"/>
      <c r="V20" s="103"/>
      <c r="W20" s="103"/>
      <c r="X20" s="103"/>
    </row>
    <row r="22" spans="1:25" x14ac:dyDescent="0.25">
      <c r="A22" s="104"/>
      <c r="Q22" s="103"/>
    </row>
    <row r="23" spans="1:25" x14ac:dyDescent="0.25">
      <c r="A23" s="104"/>
      <c r="V23" s="103"/>
    </row>
    <row r="24" spans="1:25" x14ac:dyDescent="0.25">
      <c r="A24" s="104"/>
      <c r="N24" s="103"/>
      <c r="O24" s="103"/>
      <c r="P24" s="103"/>
      <c r="V24" s="103"/>
    </row>
    <row r="26" spans="1:25" x14ac:dyDescent="0.25">
      <c r="N26" s="103"/>
      <c r="O26" s="103"/>
      <c r="P26" s="103"/>
    </row>
    <row r="27" spans="1:25" x14ac:dyDescent="0.25">
      <c r="N27" s="103"/>
      <c r="O27" s="103"/>
      <c r="P27" s="103"/>
    </row>
    <row r="28" spans="1:25" x14ac:dyDescent="0.25">
      <c r="N28" s="103"/>
      <c r="O28" s="103"/>
      <c r="P28" s="103"/>
    </row>
    <row r="29" spans="1:25" x14ac:dyDescent="0.25">
      <c r="N29" s="103"/>
      <c r="O29" s="103"/>
      <c r="P29" s="103"/>
    </row>
    <row r="30" spans="1:25" x14ac:dyDescent="0.25">
      <c r="N30" s="103"/>
      <c r="O30" s="103"/>
      <c r="P30" s="103"/>
    </row>
    <row r="31" spans="1:25" x14ac:dyDescent="0.25">
      <c r="A31" s="86" t="s">
        <v>52</v>
      </c>
      <c r="N31" s="103"/>
      <c r="O31" s="103"/>
      <c r="P31" s="103"/>
    </row>
    <row r="32" spans="1:25" x14ac:dyDescent="0.25">
      <c r="A32" s="199" t="s">
        <v>86</v>
      </c>
      <c r="B32" s="88">
        <v>34121</v>
      </c>
      <c r="C32" s="89">
        <v>34486</v>
      </c>
      <c r="D32" s="89">
        <v>34851</v>
      </c>
      <c r="E32" s="89">
        <v>35217</v>
      </c>
      <c r="F32" s="89">
        <v>35582</v>
      </c>
      <c r="G32" s="89">
        <v>35947</v>
      </c>
      <c r="H32" s="89">
        <v>36312</v>
      </c>
      <c r="I32" s="89">
        <v>36678</v>
      </c>
      <c r="J32" s="89">
        <v>37043</v>
      </c>
      <c r="K32" s="89">
        <v>37408</v>
      </c>
      <c r="L32" s="89">
        <v>37773</v>
      </c>
      <c r="M32" s="89">
        <v>38139</v>
      </c>
      <c r="N32" s="89">
        <v>38504</v>
      </c>
      <c r="O32" s="89">
        <v>38869</v>
      </c>
      <c r="P32" s="89">
        <v>39234</v>
      </c>
      <c r="Q32" s="89">
        <v>39600</v>
      </c>
      <c r="R32" s="89">
        <v>39965</v>
      </c>
      <c r="S32" s="89">
        <v>40330</v>
      </c>
      <c r="T32" s="89"/>
      <c r="U32" s="89"/>
      <c r="V32" s="89"/>
      <c r="W32" s="89"/>
      <c r="X32" s="89"/>
      <c r="Y32" s="89"/>
    </row>
    <row r="33" spans="1:25" x14ac:dyDescent="0.25">
      <c r="A33" s="200"/>
      <c r="B33" s="92" t="s">
        <v>24</v>
      </c>
      <c r="C33" s="92" t="s">
        <v>24</v>
      </c>
      <c r="D33" s="92" t="s">
        <v>24</v>
      </c>
      <c r="E33" s="92" t="s">
        <v>24</v>
      </c>
      <c r="F33" s="92" t="s">
        <v>24</v>
      </c>
      <c r="G33" s="92" t="s">
        <v>24</v>
      </c>
      <c r="H33" s="92" t="s">
        <v>24</v>
      </c>
      <c r="I33" s="92" t="s">
        <v>24</v>
      </c>
      <c r="J33" s="92" t="s">
        <v>24</v>
      </c>
      <c r="K33" s="92" t="s">
        <v>24</v>
      </c>
      <c r="L33" s="92" t="s">
        <v>24</v>
      </c>
      <c r="M33" s="92" t="s">
        <v>24</v>
      </c>
      <c r="N33" s="92" t="s">
        <v>24</v>
      </c>
      <c r="O33" s="92" t="s">
        <v>24</v>
      </c>
      <c r="P33" s="92" t="s">
        <v>24</v>
      </c>
      <c r="Q33" s="92" t="s">
        <v>24</v>
      </c>
      <c r="R33" s="92" t="s">
        <v>24</v>
      </c>
      <c r="S33" s="92" t="s">
        <v>24</v>
      </c>
      <c r="T33" s="92"/>
      <c r="U33" s="92"/>
      <c r="V33" s="92"/>
      <c r="W33" s="92"/>
      <c r="X33" s="92"/>
      <c r="Y33" s="92"/>
    </row>
    <row r="34" spans="1:25" x14ac:dyDescent="0.25">
      <c r="A34" s="200"/>
      <c r="B34" s="92" t="s">
        <v>53</v>
      </c>
      <c r="C34" s="92" t="s">
        <v>53</v>
      </c>
      <c r="D34" s="92" t="s">
        <v>53</v>
      </c>
      <c r="E34" s="92" t="s">
        <v>53</v>
      </c>
      <c r="F34" s="92" t="s">
        <v>53</v>
      </c>
      <c r="G34" s="92" t="s">
        <v>53</v>
      </c>
      <c r="H34" s="92" t="s">
        <v>53</v>
      </c>
      <c r="I34" s="92" t="s">
        <v>53</v>
      </c>
      <c r="J34" s="92" t="s">
        <v>53</v>
      </c>
      <c r="K34" s="92" t="s">
        <v>53</v>
      </c>
      <c r="L34" s="92" t="s">
        <v>53</v>
      </c>
      <c r="M34" s="92" t="s">
        <v>53</v>
      </c>
      <c r="N34" s="92" t="s">
        <v>53</v>
      </c>
      <c r="O34" s="92" t="s">
        <v>53</v>
      </c>
      <c r="P34" s="92" t="s">
        <v>53</v>
      </c>
      <c r="Q34" s="92" t="s">
        <v>53</v>
      </c>
      <c r="R34" s="92" t="s">
        <v>53</v>
      </c>
      <c r="S34" s="92" t="s">
        <v>53</v>
      </c>
      <c r="T34" s="92"/>
      <c r="U34" s="92"/>
      <c r="V34" s="92"/>
      <c r="W34" s="92"/>
      <c r="X34" s="92"/>
      <c r="Y34" s="92"/>
    </row>
    <row r="35" spans="1:25" x14ac:dyDescent="0.25">
      <c r="A35" s="201"/>
      <c r="B35" s="92" t="s">
        <v>54</v>
      </c>
      <c r="C35" s="92" t="s">
        <v>54</v>
      </c>
      <c r="D35" s="92" t="s">
        <v>54</v>
      </c>
      <c r="E35" s="92" t="s">
        <v>54</v>
      </c>
      <c r="F35" s="92" t="s">
        <v>54</v>
      </c>
      <c r="G35" s="92" t="s">
        <v>54</v>
      </c>
      <c r="H35" s="92" t="s">
        <v>54</v>
      </c>
      <c r="I35" s="92" t="s">
        <v>54</v>
      </c>
      <c r="J35" s="92" t="s">
        <v>54</v>
      </c>
      <c r="K35" s="92" t="s">
        <v>54</v>
      </c>
      <c r="L35" s="92" t="s">
        <v>54</v>
      </c>
      <c r="M35" s="92" t="s">
        <v>54</v>
      </c>
      <c r="N35" s="92" t="s">
        <v>54</v>
      </c>
      <c r="O35" s="92" t="s">
        <v>54</v>
      </c>
      <c r="P35" s="92" t="s">
        <v>54</v>
      </c>
      <c r="Q35" s="92" t="s">
        <v>54</v>
      </c>
      <c r="R35" s="92" t="s">
        <v>54</v>
      </c>
      <c r="S35" s="92" t="s">
        <v>54</v>
      </c>
      <c r="T35" s="92"/>
      <c r="U35" s="92"/>
      <c r="V35" s="92"/>
      <c r="W35" s="92"/>
      <c r="X35" s="92"/>
      <c r="Y35" s="92"/>
    </row>
    <row r="36" spans="1:25" x14ac:dyDescent="0.25">
      <c r="A36" s="95"/>
      <c r="B36" s="96"/>
      <c r="C36" s="97"/>
      <c r="D36" s="97"/>
      <c r="E36" s="97"/>
      <c r="F36" s="97"/>
      <c r="G36" s="97"/>
      <c r="H36" s="97"/>
      <c r="I36" s="97"/>
      <c r="J36" s="97"/>
      <c r="K36" s="97"/>
      <c r="L36" s="97"/>
      <c r="M36" s="97"/>
      <c r="N36" s="97"/>
      <c r="O36" s="97"/>
      <c r="P36" s="97"/>
      <c r="Q36" s="97"/>
      <c r="R36" s="97"/>
      <c r="S36" s="97"/>
      <c r="T36" s="97"/>
      <c r="U36" s="97"/>
      <c r="V36" s="97"/>
      <c r="W36" s="97"/>
      <c r="X36" s="97"/>
      <c r="Y36" s="97"/>
    </row>
    <row r="37" spans="1:25" x14ac:dyDescent="0.25">
      <c r="A37" s="99" t="str">
        <f>+A6</f>
        <v>Tax revenue</v>
      </c>
      <c r="B37" s="105">
        <f t="shared" ref="B37:S37" si="1">+B6/52.1429</f>
        <v>231.9401105827707</v>
      </c>
      <c r="C37" s="105">
        <f t="shared" si="1"/>
        <v>239.26967749049427</v>
      </c>
      <c r="D37" s="105">
        <f t="shared" si="1"/>
        <v>248.69459117588659</v>
      </c>
      <c r="E37" s="105">
        <f t="shared" si="1"/>
        <v>234.48745815347058</v>
      </c>
      <c r="F37" s="105">
        <f t="shared" si="1"/>
        <v>248.8882285262888</v>
      </c>
      <c r="G37" s="105">
        <f t="shared" si="1"/>
        <v>256.08389141111871</v>
      </c>
      <c r="H37" s="105">
        <f t="shared" si="1"/>
        <v>269.81156187025994</v>
      </c>
      <c r="I37" s="105">
        <f t="shared" si="1"/>
        <v>287.68818260158133</v>
      </c>
      <c r="J37" s="105">
        <f t="shared" si="1"/>
        <v>282.77688588099016</v>
      </c>
      <c r="K37" s="105">
        <f t="shared" si="1"/>
        <v>287.04501722898766</v>
      </c>
      <c r="L37" s="105">
        <f t="shared" si="1"/>
        <v>267.90990183355507</v>
      </c>
      <c r="M37" s="105">
        <f t="shared" si="1"/>
        <v>242.32924357739986</v>
      </c>
      <c r="N37" s="105">
        <f t="shared" si="1"/>
        <v>231.97647065008181</v>
      </c>
      <c r="O37" s="105">
        <f t="shared" si="1"/>
        <v>244.35034635670729</v>
      </c>
      <c r="P37" s="105">
        <f t="shared" si="1"/>
        <v>256.10651006273952</v>
      </c>
      <c r="Q37" s="105">
        <f t="shared" si="1"/>
        <v>259.97942586620803</v>
      </c>
      <c r="R37" s="105">
        <f t="shared" si="1"/>
        <v>275.64753913217714</v>
      </c>
      <c r="S37" s="105">
        <f t="shared" si="1"/>
        <v>0</v>
      </c>
      <c r="T37" s="105"/>
      <c r="U37" s="105"/>
      <c r="V37" s="105"/>
      <c r="W37" s="105"/>
      <c r="X37" s="105"/>
      <c r="Y37" s="105"/>
    </row>
    <row r="38" spans="1:25" x14ac:dyDescent="0.25">
      <c r="A38" s="99" t="str">
        <f>+A7</f>
        <v>Other revenue</v>
      </c>
      <c r="B38" s="105">
        <f t="shared" ref="B38:S38" si="2">+B7/52.1429</f>
        <v>56.330167332594343</v>
      </c>
      <c r="C38" s="105">
        <f t="shared" si="2"/>
        <v>53.263787515122381</v>
      </c>
      <c r="D38" s="105">
        <f t="shared" si="2"/>
        <v>56.626144984147437</v>
      </c>
      <c r="E38" s="105">
        <f t="shared" si="2"/>
        <v>88.917208660199776</v>
      </c>
      <c r="F38" s="105">
        <f t="shared" si="2"/>
        <v>105.25757319115841</v>
      </c>
      <c r="G38" s="105">
        <f t="shared" si="2"/>
        <v>100.78430878922114</v>
      </c>
      <c r="H38" s="105">
        <f t="shared" si="2"/>
        <v>107.09940321578803</v>
      </c>
      <c r="I38" s="105">
        <f t="shared" si="2"/>
        <v>103.82094609456237</v>
      </c>
      <c r="J38" s="105">
        <f t="shared" si="2"/>
        <v>114.3703181759394</v>
      </c>
      <c r="K38" s="105">
        <f t="shared" si="2"/>
        <v>126.60186375087491</v>
      </c>
      <c r="L38" s="105">
        <f t="shared" si="2"/>
        <v>124.04656457599458</v>
      </c>
      <c r="M38" s="105">
        <f t="shared" si="2"/>
        <v>115.12648573157935</v>
      </c>
      <c r="N38" s="105">
        <f t="shared" si="2"/>
        <v>136.49624751676305</v>
      </c>
      <c r="O38" s="105">
        <f t="shared" si="2"/>
        <v>128.20291381792228</v>
      </c>
      <c r="P38" s="105">
        <f t="shared" si="2"/>
        <v>124.13240331024546</v>
      </c>
      <c r="Q38" s="105">
        <f t="shared" si="2"/>
        <v>120.93853940654432</v>
      </c>
      <c r="R38" s="105">
        <f t="shared" si="2"/>
        <v>120.84174457935941</v>
      </c>
      <c r="S38" s="105">
        <f t="shared" si="2"/>
        <v>0</v>
      </c>
      <c r="T38" s="105"/>
      <c r="U38" s="105"/>
      <c r="V38" s="105"/>
      <c r="W38" s="105"/>
      <c r="X38" s="105"/>
      <c r="Y38" s="105"/>
    </row>
    <row r="39" spans="1:25" x14ac:dyDescent="0.25">
      <c r="A39" s="99" t="str">
        <f>+A9</f>
        <v>Expenses</v>
      </c>
      <c r="B39" s="105">
        <f t="shared" ref="B39:S39" si="3">+B9/52.1429</f>
        <v>287.34701836335006</v>
      </c>
      <c r="C39" s="105">
        <f t="shared" si="3"/>
        <v>288.36053434115922</v>
      </c>
      <c r="D39" s="105">
        <f t="shared" si="3"/>
        <v>295.69729261162763</v>
      </c>
      <c r="E39" s="105">
        <f t="shared" si="3"/>
        <v>307.40386658786008</v>
      </c>
      <c r="F39" s="105">
        <f t="shared" si="3"/>
        <v>326.83345130652026</v>
      </c>
      <c r="G39" s="105">
        <f t="shared" si="3"/>
        <v>323.31262662975803</v>
      </c>
      <c r="H39" s="105">
        <f t="shared" si="3"/>
        <v>335.97395863721869</v>
      </c>
      <c r="I39" s="105">
        <f t="shared" si="3"/>
        <v>352.51165392357547</v>
      </c>
      <c r="J39" s="105">
        <f t="shared" si="3"/>
        <v>365.84506662705684</v>
      </c>
      <c r="K39" s="105">
        <f t="shared" si="3"/>
        <v>384.94339765268234</v>
      </c>
      <c r="L39" s="105">
        <f t="shared" si="3"/>
        <v>411.21906217717424</v>
      </c>
      <c r="M39" s="105">
        <f t="shared" si="3"/>
        <v>387.85096980377091</v>
      </c>
      <c r="N39" s="105">
        <f t="shared" si="3"/>
        <v>451.9385129188185</v>
      </c>
      <c r="O39" s="105">
        <f t="shared" si="3"/>
        <v>413.85568769380956</v>
      </c>
      <c r="P39" s="105">
        <f t="shared" si="3"/>
        <v>399.41143774414542</v>
      </c>
      <c r="Q39" s="105">
        <f t="shared" si="3"/>
        <v>392.20470819829956</v>
      </c>
      <c r="R39" s="105">
        <f t="shared" si="3"/>
        <v>393.39709044082366</v>
      </c>
      <c r="S39" s="105">
        <f t="shared" si="3"/>
        <v>0</v>
      </c>
      <c r="T39" s="105"/>
      <c r="U39" s="105"/>
      <c r="V39" s="105"/>
      <c r="W39" s="105"/>
      <c r="X39" s="105"/>
      <c r="Y39" s="105"/>
    </row>
    <row r="40" spans="1:25" x14ac:dyDescent="0.25">
      <c r="A40" s="99" t="str">
        <f>+A8</f>
        <v>Total Revenue</v>
      </c>
      <c r="B40" s="105">
        <f t="shared" ref="B40:S40" si="4">+B8/52.1429</f>
        <v>288.27027791536506</v>
      </c>
      <c r="C40" s="105">
        <f t="shared" si="4"/>
        <v>292.53346500561662</v>
      </c>
      <c r="D40" s="105">
        <f t="shared" si="4"/>
        <v>305.32073616003407</v>
      </c>
      <c r="E40" s="105">
        <f t="shared" si="4"/>
        <v>323.40466681367036</v>
      </c>
      <c r="F40" s="105">
        <f t="shared" si="4"/>
        <v>354.14580171744723</v>
      </c>
      <c r="G40" s="105">
        <f t="shared" si="4"/>
        <v>356.86820020033991</v>
      </c>
      <c r="H40" s="105">
        <f t="shared" si="4"/>
        <v>376.91096508604795</v>
      </c>
      <c r="I40" s="105">
        <f t="shared" si="4"/>
        <v>391.5091286961437</v>
      </c>
      <c r="J40" s="105">
        <f t="shared" si="4"/>
        <v>397.14720405692958</v>
      </c>
      <c r="K40" s="105">
        <f t="shared" si="4"/>
        <v>413.64688097986254</v>
      </c>
      <c r="L40" s="105">
        <f t="shared" si="4"/>
        <v>391.95646640954959</v>
      </c>
      <c r="M40" s="105">
        <f t="shared" si="4"/>
        <v>357.45572930897919</v>
      </c>
      <c r="N40" s="105">
        <f t="shared" si="4"/>
        <v>368.47271816684491</v>
      </c>
      <c r="O40" s="105">
        <f t="shared" si="4"/>
        <v>372.55326017462954</v>
      </c>
      <c r="P40" s="105">
        <f t="shared" si="4"/>
        <v>380.23891337298494</v>
      </c>
      <c r="Q40" s="105">
        <f t="shared" si="4"/>
        <v>380.91796527275233</v>
      </c>
      <c r="R40" s="105">
        <f t="shared" si="4"/>
        <v>396.48928371153659</v>
      </c>
      <c r="S40" s="105">
        <f t="shared" si="4"/>
        <v>0</v>
      </c>
      <c r="T40" s="105"/>
      <c r="U40" s="105"/>
      <c r="V40" s="105"/>
      <c r="W40" s="105"/>
      <c r="X40" s="105"/>
      <c r="Y40" s="105"/>
    </row>
    <row r="41" spans="1:25" x14ac:dyDescent="0.25">
      <c r="T41" s="105"/>
      <c r="U41" s="105"/>
      <c r="V41" s="105"/>
      <c r="W41" s="105"/>
      <c r="X41" s="105"/>
      <c r="Y41" s="105"/>
    </row>
    <row r="42" spans="1:25" x14ac:dyDescent="0.25">
      <c r="A42" s="99"/>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row>
    <row r="43" spans="1:25" x14ac:dyDescent="0.25">
      <c r="A43" s="99"/>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row>
    <row r="44" spans="1:25" x14ac:dyDescent="0.25">
      <c r="A44" s="99"/>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row>
    <row r="45" spans="1:25" x14ac:dyDescent="0.25">
      <c r="A45" s="99"/>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row>
  </sheetData>
  <mergeCells count="2">
    <mergeCell ref="A2:A4"/>
    <mergeCell ref="A32:A35"/>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Q6"/>
  <sheetViews>
    <sheetView workbookViewId="0">
      <selection activeCell="M25" sqref="M25"/>
    </sheetView>
  </sheetViews>
  <sheetFormatPr defaultRowHeight="15" x14ac:dyDescent="0.25"/>
  <cols>
    <col min="1" max="1" width="40.5703125" bestFit="1" customWidth="1"/>
  </cols>
  <sheetData>
    <row r="1" spans="1:17" ht="15" customHeight="1" x14ac:dyDescent="0.25">
      <c r="A1" s="62" t="s">
        <v>64</v>
      </c>
      <c r="B1" s="192" t="s">
        <v>65</v>
      </c>
      <c r="C1" s="192"/>
      <c r="D1" s="192"/>
      <c r="E1" s="192"/>
      <c r="F1" s="192"/>
      <c r="G1" s="192"/>
      <c r="H1" s="192"/>
      <c r="I1" s="192"/>
      <c r="J1" s="192"/>
      <c r="K1" s="192"/>
      <c r="L1" s="192"/>
      <c r="M1" s="192"/>
      <c r="N1" s="192"/>
      <c r="O1" s="158"/>
      <c r="P1" s="193" t="s">
        <v>66</v>
      </c>
      <c r="Q1" s="195" t="s">
        <v>68</v>
      </c>
    </row>
    <row r="2" spans="1:17" x14ac:dyDescent="0.25">
      <c r="A2" s="83"/>
      <c r="B2" s="77">
        <v>2009</v>
      </c>
      <c r="C2" s="78">
        <f>+B2+1</f>
        <v>2010</v>
      </c>
      <c r="D2" s="78">
        <f t="shared" ref="D2:I2" si="0">+C2+1</f>
        <v>2011</v>
      </c>
      <c r="E2" s="78">
        <f t="shared" si="0"/>
        <v>2012</v>
      </c>
      <c r="F2" s="78">
        <f t="shared" si="0"/>
        <v>2013</v>
      </c>
      <c r="G2" s="78">
        <f t="shared" si="0"/>
        <v>2014</v>
      </c>
      <c r="H2" s="78">
        <f t="shared" si="0"/>
        <v>2015</v>
      </c>
      <c r="I2" s="78">
        <f t="shared" si="0"/>
        <v>2016</v>
      </c>
      <c r="J2" s="78">
        <f>+I2+1</f>
        <v>2017</v>
      </c>
      <c r="K2" s="78">
        <f>+J2+1</f>
        <v>2018</v>
      </c>
      <c r="L2" s="78">
        <f>+K2+1</f>
        <v>2019</v>
      </c>
      <c r="M2" s="78">
        <f>+L2+1</f>
        <v>2020</v>
      </c>
      <c r="N2" s="79">
        <f>+M2+1</f>
        <v>2021</v>
      </c>
      <c r="O2" s="158"/>
      <c r="P2" s="194"/>
      <c r="Q2" s="196"/>
    </row>
    <row r="3" spans="1:17" x14ac:dyDescent="0.25">
      <c r="A3" s="83" t="str">
        <f>+'Real per person (Total)'!A6</f>
        <v>Tax revenue</v>
      </c>
      <c r="B3" s="116">
        <f>+'Real per person (Total)'!L6/'Real per person (Total)'!K6-1</f>
        <v>-6.6662419644677895E-2</v>
      </c>
      <c r="C3" s="116">
        <f>+'Real per person (Total)'!M6/'Real per person (Total)'!L6-1</f>
        <v>-9.5482317305493836E-2</v>
      </c>
      <c r="D3" s="116">
        <f>+'Real per person (Total)'!N6/'Real per person (Total)'!M6-1</f>
        <v>-4.2721929778200218E-2</v>
      </c>
      <c r="E3" s="116">
        <f>+'Real per person (Total)'!O6/'Real per person (Total)'!N6-1</f>
        <v>5.3341080980969346E-2</v>
      </c>
      <c r="F3" s="116">
        <f>+'Real per person (Total)'!P6/'Real per person (Total)'!O6-1</f>
        <v>4.8111917504181978E-2</v>
      </c>
      <c r="G3" s="116">
        <f>+'Real per person (Total)'!Q6/'Real per person (Total)'!P6-1</f>
        <v>1.5122285655760015E-2</v>
      </c>
      <c r="H3" s="116">
        <f>+'Real per person (Total)'!R6/'Real per person (Total)'!Q6-1</f>
        <v>6.0266743084632868E-2</v>
      </c>
      <c r="I3" s="116"/>
      <c r="J3" s="116"/>
      <c r="K3" s="116"/>
      <c r="L3" s="116"/>
      <c r="M3" s="116"/>
      <c r="N3" s="117"/>
      <c r="O3" s="52"/>
      <c r="P3" s="121">
        <f>+('Real per person (Total)'!R6/'Real per person (Total)'!B6)^(1/(YEAR('Real per person (Total)'!$R$2)-YEAR('Real per person (Total)'!$B$2)))-1</f>
        <v>1.0848663526667801E-2</v>
      </c>
      <c r="Q3" s="117">
        <f>+('Real per person (Total)'!R6/'Real per person (Total)'!L6)^(1/(YEAR('Real per person (Total)'!$L$2)-YEAR('Real per person (Total)'!$R$2)))-1</f>
        <v>-4.734138587239145E-3</v>
      </c>
    </row>
    <row r="4" spans="1:17" x14ac:dyDescent="0.25">
      <c r="A4" s="84" t="str">
        <f>+'Real per person (Total)'!A7</f>
        <v>Other revenue</v>
      </c>
      <c r="B4" s="54">
        <f>+'Real per person (Total)'!L7/'Real per person (Total)'!K7-1</f>
        <v>-2.0183740579906573E-2</v>
      </c>
      <c r="C4" s="54">
        <f>+'Real per person (Total)'!M7/'Real per person (Total)'!L7-1</f>
        <v>-7.1909116345987401E-2</v>
      </c>
      <c r="D4" s="54">
        <f>+'Real per person (Total)'!N7/'Real per person (Total)'!M7-1</f>
        <v>0.18561985671140779</v>
      </c>
      <c r="E4" s="54">
        <f>+'Real per person (Total)'!O7/'Real per person (Total)'!N7-1</f>
        <v>-6.0758693734948799E-2</v>
      </c>
      <c r="F4" s="54">
        <f>+'Real per person (Total)'!P7/'Real per person (Total)'!O7-1</f>
        <v>-3.1750530362031237E-2</v>
      </c>
      <c r="G4" s="54">
        <f>+'Real per person (Total)'!Q7/'Real per person (Total)'!P7-1</f>
        <v>-2.5729493818940075E-2</v>
      </c>
      <c r="H4" s="54">
        <f>+'Real per person (Total)'!R7/'Real per person (Total)'!Q7-1</f>
        <v>-8.003637852739276E-4</v>
      </c>
      <c r="I4" s="54"/>
      <c r="J4" s="54"/>
      <c r="K4" s="54"/>
      <c r="L4" s="54"/>
      <c r="M4" s="54"/>
      <c r="N4" s="118"/>
      <c r="O4" s="52"/>
      <c r="P4" s="122">
        <f>+('Real per person (Total)'!R7/'Real per person (Total)'!B7)^(1/(YEAR('Real per person (Total)'!$R$2)-YEAR('Real per person (Total)'!$B$2)))-1</f>
        <v>4.8859331937530781E-2</v>
      </c>
      <c r="Q4" s="118">
        <f>+('Real per person (Total)'!R7/'Real per person (Total)'!L7)^(1/(YEAR('Real per person (Total)'!$L$2)-YEAR('Real per person (Total)'!$R$2)))-1</f>
        <v>4.3720667798576862E-3</v>
      </c>
    </row>
    <row r="5" spans="1:17" x14ac:dyDescent="0.25">
      <c r="A5" s="84" t="str">
        <f>+'Real per person (Total)'!A8</f>
        <v>Total Revenue</v>
      </c>
      <c r="B5" s="54">
        <f>+'Real per person (Total)'!L8/'Real per person (Total)'!K8-1</f>
        <v>-5.2437031602732831E-2</v>
      </c>
      <c r="C5" s="54">
        <f>+'Real per person (Total)'!M8/'Real per person (Total)'!L8-1</f>
        <v>-8.802185971469878E-2</v>
      </c>
      <c r="D5" s="54">
        <f>+'Real per person (Total)'!N8/'Real per person (Total)'!M8-1</f>
        <v>3.0820568687382366E-2</v>
      </c>
      <c r="E5" s="54">
        <f>+'Real per person (Total)'!O8/'Real per person (Total)'!N8-1</f>
        <v>1.1074203887021516E-2</v>
      </c>
      <c r="F5" s="54">
        <f>+'Real per person (Total)'!P8/'Real per person (Total)'!O8-1</f>
        <v>2.0629676397819763E-2</v>
      </c>
      <c r="G5" s="54">
        <f>+'Real per person (Total)'!Q8/'Real per person (Total)'!P8-1</f>
        <v>1.7858558813557135E-3</v>
      </c>
      <c r="H5" s="54">
        <f>+'Real per person (Total)'!R8/'Real per person (Total)'!Q8-1</f>
        <v>4.0878403904196281E-2</v>
      </c>
      <c r="I5" s="54"/>
      <c r="J5" s="54"/>
      <c r="K5" s="54"/>
      <c r="L5" s="54"/>
      <c r="M5" s="54"/>
      <c r="N5" s="118"/>
      <c r="O5" s="52"/>
      <c r="P5" s="122">
        <f>+('Real per person (Total)'!R8/'Real per person (Total)'!B8)^(1/(YEAR('Real per person (Total)'!$R$2)-YEAR('Real per person (Total)'!$B$2)))-1</f>
        <v>2.0121672328808016E-2</v>
      </c>
      <c r="Q5" s="118">
        <f>+('Real per person (Total)'!R8/'Real per person (Total)'!L8)^(1/(YEAR('Real per person (Total)'!$L$2)-YEAR('Real per person (Total)'!$R$2)))-1</f>
        <v>-1.9145374230995493E-3</v>
      </c>
    </row>
    <row r="6" spans="1:17" x14ac:dyDescent="0.25">
      <c r="A6" s="85" t="str">
        <f>+'Real per person (Total)'!A9</f>
        <v>Expenses</v>
      </c>
      <c r="B6" s="119">
        <f>+'Real per person (Total)'!L9/'Real per person (Total)'!K9-1</f>
        <v>6.8258514588680486E-2</v>
      </c>
      <c r="C6" s="119">
        <f>+'Real per person (Total)'!M9/'Real per person (Total)'!L9-1</f>
        <v>-5.6826384092416249E-2</v>
      </c>
      <c r="D6" s="119">
        <f>+'Real per person (Total)'!N9/'Real per person (Total)'!M9-1</f>
        <v>0.16523754767835697</v>
      </c>
      <c r="E6" s="119">
        <f>+'Real per person (Total)'!O9/'Real per person (Total)'!N9-1</f>
        <v>-8.4265501028122691E-2</v>
      </c>
      <c r="F6" s="119">
        <f>+'Real per person (Total)'!P9/'Real per person (Total)'!O9-1</f>
        <v>-3.4901658667913948E-2</v>
      </c>
      <c r="G6" s="119">
        <f>+'Real per person (Total)'!Q9/'Real per person (Total)'!P9-1</f>
        <v>-1.8043372985383388E-2</v>
      </c>
      <c r="H6" s="119">
        <f>+'Real per person (Total)'!R9/'Real per person (Total)'!Q9-1</f>
        <v>3.0402037956189787E-3</v>
      </c>
      <c r="I6" s="119"/>
      <c r="J6" s="119"/>
      <c r="K6" s="119"/>
      <c r="L6" s="119"/>
      <c r="M6" s="119"/>
      <c r="N6" s="120"/>
      <c r="O6" s="52"/>
      <c r="P6" s="123">
        <f>+('Real per person (Total)'!R9/'Real per person (Total)'!B9)^(1/(YEAR('Real per person (Total)'!$R$2)-YEAR('Real per person (Total)'!$B$2)))-1</f>
        <v>1.9827052287336278E-2</v>
      </c>
      <c r="Q6" s="120">
        <f>+('Real per person (Total)'!R9/'Real per person (Total)'!L9)^(1/(YEAR('Real per person (Total)'!$L$2)-YEAR('Real per person (Total)'!$R$2)))-1</f>
        <v>7.4117588658710876E-3</v>
      </c>
    </row>
  </sheetData>
  <mergeCells count="3">
    <mergeCell ref="P1:P2"/>
    <mergeCell ref="Q1:Q2"/>
    <mergeCell ref="B1:N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I28"/>
  <sheetViews>
    <sheetView workbookViewId="0">
      <pane xSplit="1" ySplit="1" topLeftCell="B2" activePane="bottomRight" state="frozen"/>
      <selection pane="topRight" activeCell="B1" sqref="B1"/>
      <selection pane="bottomLeft" activeCell="A2" sqref="A2"/>
      <selection pane="bottomRight" activeCell="K18" sqref="K18"/>
    </sheetView>
  </sheetViews>
  <sheetFormatPr defaultRowHeight="15" x14ac:dyDescent="0.25"/>
  <cols>
    <col min="2" max="24" width="9.7109375" bestFit="1" customWidth="1"/>
    <col min="25" max="25" width="11" bestFit="1" customWidth="1"/>
    <col min="26" max="34" width="9.7109375" bestFit="1" customWidth="1"/>
  </cols>
  <sheetData>
    <row r="1" spans="1:35" x14ac:dyDescent="0.25">
      <c r="A1" s="42"/>
      <c r="B1" s="157">
        <v>1991</v>
      </c>
      <c r="C1" s="157">
        <f>+B1+1</f>
        <v>1992</v>
      </c>
      <c r="D1" s="157">
        <f t="shared" ref="D1:AA1" si="0">+C1+1</f>
        <v>1993</v>
      </c>
      <c r="E1" s="157">
        <f t="shared" si="0"/>
        <v>1994</v>
      </c>
      <c r="F1" s="157">
        <f t="shared" si="0"/>
        <v>1995</v>
      </c>
      <c r="G1" s="157">
        <f t="shared" si="0"/>
        <v>1996</v>
      </c>
      <c r="H1" s="157">
        <f t="shared" si="0"/>
        <v>1997</v>
      </c>
      <c r="I1" s="157">
        <f t="shared" si="0"/>
        <v>1998</v>
      </c>
      <c r="J1" s="157">
        <f t="shared" si="0"/>
        <v>1999</v>
      </c>
      <c r="K1" s="157">
        <f t="shared" si="0"/>
        <v>2000</v>
      </c>
      <c r="L1" s="157">
        <f t="shared" si="0"/>
        <v>2001</v>
      </c>
      <c r="M1" s="157">
        <f t="shared" si="0"/>
        <v>2002</v>
      </c>
      <c r="N1" s="157">
        <f t="shared" si="0"/>
        <v>2003</v>
      </c>
      <c r="O1" s="157">
        <f t="shared" si="0"/>
        <v>2004</v>
      </c>
      <c r="P1" s="157">
        <f t="shared" si="0"/>
        <v>2005</v>
      </c>
      <c r="Q1" s="157">
        <f t="shared" si="0"/>
        <v>2006</v>
      </c>
      <c r="R1" s="157">
        <f t="shared" si="0"/>
        <v>2007</v>
      </c>
      <c r="S1" s="157">
        <f t="shared" si="0"/>
        <v>2008</v>
      </c>
      <c r="T1" s="157">
        <f t="shared" si="0"/>
        <v>2009</v>
      </c>
      <c r="U1" s="157">
        <f t="shared" si="0"/>
        <v>2010</v>
      </c>
      <c r="V1" s="157">
        <f t="shared" si="0"/>
        <v>2011</v>
      </c>
      <c r="W1" s="157">
        <f t="shared" si="0"/>
        <v>2012</v>
      </c>
      <c r="X1" s="157">
        <f t="shared" si="0"/>
        <v>2013</v>
      </c>
      <c r="Y1" s="157">
        <f t="shared" si="0"/>
        <v>2014</v>
      </c>
      <c r="Z1" s="157">
        <f t="shared" si="0"/>
        <v>2015</v>
      </c>
      <c r="AA1" s="157">
        <f t="shared" si="0"/>
        <v>2016</v>
      </c>
      <c r="AB1" s="43" t="s">
        <v>92</v>
      </c>
      <c r="AC1" s="158">
        <v>2018</v>
      </c>
      <c r="AD1" s="158">
        <v>2019</v>
      </c>
      <c r="AE1" s="158">
        <v>2020</v>
      </c>
      <c r="AF1" s="158">
        <v>2021</v>
      </c>
      <c r="AG1" s="158">
        <v>2022</v>
      </c>
      <c r="AH1" s="158">
        <v>2023</v>
      </c>
      <c r="AI1" s="158"/>
    </row>
    <row r="2" spans="1:35" x14ac:dyDescent="0.25">
      <c r="A2" s="44" t="s">
        <v>93</v>
      </c>
      <c r="B2" s="40">
        <v>3495100</v>
      </c>
      <c r="C2" s="40">
        <v>3531700</v>
      </c>
      <c r="D2" s="40">
        <v>3572200</v>
      </c>
      <c r="E2" s="40">
        <v>3620000</v>
      </c>
      <c r="F2" s="40">
        <v>3673400</v>
      </c>
      <c r="G2" s="40">
        <v>3732000</v>
      </c>
      <c r="H2" s="40">
        <v>3781300</v>
      </c>
      <c r="I2" s="40">
        <v>3815000</v>
      </c>
      <c r="J2" s="40">
        <v>3835100</v>
      </c>
      <c r="K2" s="40">
        <v>3857700</v>
      </c>
      <c r="L2" s="40">
        <v>3880500</v>
      </c>
      <c r="M2" s="40">
        <v>3948500</v>
      </c>
      <c r="N2" s="40">
        <v>4027200</v>
      </c>
      <c r="O2" s="40">
        <v>4087500</v>
      </c>
      <c r="P2" s="40">
        <v>4133900</v>
      </c>
      <c r="Q2" s="40">
        <v>4184630</v>
      </c>
      <c r="R2" s="40">
        <v>4223860</v>
      </c>
      <c r="S2" s="40">
        <v>4259750</v>
      </c>
      <c r="T2" s="40">
        <v>4302590</v>
      </c>
      <c r="U2" s="40">
        <v>4350670</v>
      </c>
      <c r="V2" s="40">
        <v>4383970</v>
      </c>
      <c r="W2" s="40">
        <v>4407980</v>
      </c>
      <c r="X2" s="40">
        <v>4442100</v>
      </c>
      <c r="Y2" s="40">
        <v>4509690</v>
      </c>
      <c r="Z2" s="40">
        <v>4595750</v>
      </c>
      <c r="AA2" s="40">
        <v>4693000</v>
      </c>
      <c r="AB2" s="40">
        <v>4782610</v>
      </c>
      <c r="AC2" s="40">
        <v>4864610</v>
      </c>
      <c r="AD2" s="40">
        <v>4938700</v>
      </c>
      <c r="AE2" s="40">
        <v>5004280</v>
      </c>
      <c r="AF2" s="158">
        <v>5061560</v>
      </c>
      <c r="AG2" s="158">
        <v>5109810</v>
      </c>
      <c r="AH2" s="158">
        <v>5157920</v>
      </c>
      <c r="AI2" s="40"/>
    </row>
    <row r="3" spans="1:35" x14ac:dyDescent="0.25">
      <c r="A3" s="44" t="s">
        <v>94</v>
      </c>
      <c r="B3" s="40">
        <v>391300</v>
      </c>
      <c r="C3" s="40">
        <v>399600</v>
      </c>
      <c r="D3" s="40">
        <v>407800</v>
      </c>
      <c r="E3" s="40">
        <v>415900</v>
      </c>
      <c r="F3" s="40">
        <v>423400</v>
      </c>
      <c r="G3" s="40">
        <v>430100</v>
      </c>
      <c r="H3" s="40">
        <v>436300</v>
      </c>
      <c r="I3" s="40">
        <v>442200</v>
      </c>
      <c r="J3" s="40">
        <v>447900</v>
      </c>
      <c r="K3" s="40">
        <v>453500</v>
      </c>
      <c r="L3" s="40">
        <v>460600</v>
      </c>
      <c r="M3" s="40">
        <v>467500</v>
      </c>
      <c r="N3" s="40">
        <v>475700</v>
      </c>
      <c r="O3" s="40">
        <v>484600</v>
      </c>
      <c r="P3" s="40">
        <v>496400</v>
      </c>
      <c r="Q3" s="40">
        <v>511600</v>
      </c>
      <c r="R3" s="40">
        <v>525300</v>
      </c>
      <c r="S3" s="40">
        <v>535000</v>
      </c>
      <c r="T3" s="40">
        <v>548300</v>
      </c>
      <c r="U3" s="40">
        <v>563500</v>
      </c>
      <c r="V3" s="40">
        <v>580100</v>
      </c>
      <c r="W3" s="40">
        <v>603000</v>
      </c>
      <c r="X3" s="40">
        <v>626000</v>
      </c>
      <c r="Y3" s="40">
        <v>650400</v>
      </c>
      <c r="Z3" s="40">
        <v>674300</v>
      </c>
      <c r="AA3" s="40">
        <v>698400</v>
      </c>
      <c r="AB3" s="40">
        <v>717400</v>
      </c>
      <c r="AC3" s="51">
        <f>+AA3*AC7/AA7</f>
        <v>747125.58139534888</v>
      </c>
      <c r="AD3" s="51">
        <f t="shared" ref="AD3:AH3" si="1">+AB3*AD7/AB7</f>
        <v>767053.21935750719</v>
      </c>
      <c r="AE3" s="51">
        <f t="shared" si="1"/>
        <v>798940.10557854199</v>
      </c>
      <c r="AF3" s="51">
        <f t="shared" si="1"/>
        <v>820168.31655866536</v>
      </c>
      <c r="AG3" s="51">
        <f t="shared" si="1"/>
        <v>854441.43244400062</v>
      </c>
      <c r="AH3" s="51">
        <f t="shared" si="1"/>
        <v>875954.00523921126</v>
      </c>
      <c r="AI3" s="40"/>
    </row>
    <row r="4" spans="1:35" x14ac:dyDescent="0.25">
      <c r="A4" s="158" t="s">
        <v>95</v>
      </c>
      <c r="B4" s="158"/>
      <c r="C4" s="158"/>
      <c r="D4" s="158"/>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158"/>
      <c r="AG4" s="158"/>
      <c r="AH4" s="158"/>
      <c r="AI4" s="158"/>
    </row>
    <row r="5" spans="1:35" x14ac:dyDescent="0.25">
      <c r="A5" s="158" t="s">
        <v>96</v>
      </c>
      <c r="B5" s="158"/>
      <c r="C5" s="158"/>
      <c r="D5" s="158"/>
      <c r="E5" s="40"/>
      <c r="F5" s="158"/>
      <c r="G5" s="158"/>
      <c r="H5" s="158"/>
      <c r="I5" s="158"/>
      <c r="J5" s="158"/>
      <c r="K5" s="158"/>
      <c r="L5" s="158"/>
      <c r="M5" s="158"/>
      <c r="N5" s="158"/>
      <c r="O5" s="158"/>
      <c r="P5" s="158"/>
      <c r="Q5" s="158"/>
      <c r="R5" s="158"/>
      <c r="S5" s="158"/>
      <c r="T5" s="158"/>
      <c r="U5" s="158"/>
      <c r="V5" s="158"/>
      <c r="W5" s="158"/>
      <c r="X5" s="158"/>
      <c r="Y5" s="158" t="s">
        <v>97</v>
      </c>
      <c r="Z5" s="158"/>
      <c r="AA5" s="48" t="s">
        <v>98</v>
      </c>
      <c r="AB5" s="49" t="s">
        <v>99</v>
      </c>
      <c r="AC5" s="49" t="s">
        <v>100</v>
      </c>
      <c r="AD5" s="49" t="s">
        <v>101</v>
      </c>
      <c r="AE5" s="49" t="s">
        <v>102</v>
      </c>
      <c r="AF5" s="49" t="s">
        <v>103</v>
      </c>
      <c r="AG5" s="49" t="s">
        <v>104</v>
      </c>
      <c r="AH5" s="49" t="s">
        <v>105</v>
      </c>
      <c r="AI5" s="158"/>
    </row>
    <row r="6" spans="1:35" x14ac:dyDescent="0.25">
      <c r="A6" s="158"/>
      <c r="B6" s="158"/>
      <c r="C6" s="158"/>
      <c r="D6" s="158"/>
      <c r="E6" s="40"/>
      <c r="F6" s="158"/>
      <c r="G6" s="158"/>
      <c r="H6" s="158"/>
      <c r="I6" s="158"/>
      <c r="J6" s="158"/>
      <c r="K6" s="158"/>
      <c r="L6" s="158"/>
      <c r="M6" s="158"/>
      <c r="N6" s="158"/>
      <c r="O6" s="158"/>
      <c r="P6" s="158"/>
      <c r="Q6" s="158"/>
      <c r="R6" s="158"/>
      <c r="S6" s="158"/>
      <c r="T6" s="158"/>
      <c r="U6" s="158"/>
      <c r="V6" s="158"/>
      <c r="W6" s="158"/>
      <c r="X6" s="158"/>
      <c r="Y6" s="158"/>
      <c r="Z6" s="158"/>
      <c r="AA6" s="50">
        <v>4693000</v>
      </c>
      <c r="AB6" s="50">
        <v>4782700</v>
      </c>
      <c r="AC6" s="50">
        <v>4864600</v>
      </c>
      <c r="AD6" s="50">
        <v>4938600</v>
      </c>
      <c r="AE6" s="50">
        <v>5004300</v>
      </c>
      <c r="AF6" s="50">
        <v>5061500</v>
      </c>
      <c r="AG6" s="50">
        <v>5109800</v>
      </c>
      <c r="AH6" s="50">
        <v>5157900</v>
      </c>
      <c r="AI6" s="158"/>
    </row>
    <row r="7" spans="1:35" x14ac:dyDescent="0.25">
      <c r="A7" s="158"/>
      <c r="B7" s="158"/>
      <c r="C7" s="158"/>
      <c r="D7" s="158"/>
      <c r="E7" s="40"/>
      <c r="F7" s="158"/>
      <c r="G7" s="158"/>
      <c r="H7" s="158"/>
      <c r="I7" s="158"/>
      <c r="J7" s="158"/>
      <c r="K7" s="158"/>
      <c r="L7" s="158"/>
      <c r="M7" s="158"/>
      <c r="N7" s="158"/>
      <c r="O7" s="158"/>
      <c r="P7" s="158"/>
      <c r="Q7" s="158"/>
      <c r="R7" s="158"/>
      <c r="S7" s="158"/>
      <c r="T7" s="158"/>
      <c r="U7" s="158"/>
      <c r="V7" s="158"/>
      <c r="W7" s="158"/>
      <c r="X7" s="158"/>
      <c r="Y7" s="158"/>
      <c r="Z7" s="158"/>
      <c r="AA7" s="158">
        <v>700900</v>
      </c>
      <c r="AB7" s="158">
        <v>725300</v>
      </c>
      <c r="AC7" s="158">
        <v>749800</v>
      </c>
      <c r="AD7" s="158">
        <v>775500</v>
      </c>
      <c r="AE7" s="158">
        <v>801800</v>
      </c>
      <c r="AF7" s="158">
        <v>829200</v>
      </c>
      <c r="AG7" s="158">
        <v>857500</v>
      </c>
      <c r="AH7" s="158">
        <v>885600</v>
      </c>
      <c r="AI7" s="158"/>
    </row>
    <row r="8" spans="1:35" x14ac:dyDescent="0.25">
      <c r="A8" s="158"/>
      <c r="B8" s="158"/>
      <c r="C8" s="158"/>
      <c r="D8" s="158"/>
      <c r="E8" s="40"/>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row>
    <row r="9" spans="1:35" x14ac:dyDescent="0.25">
      <c r="A9" s="158"/>
      <c r="B9" s="158"/>
      <c r="C9" s="158"/>
      <c r="D9" s="158"/>
      <c r="E9" s="40"/>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row>
    <row r="10" spans="1:35" x14ac:dyDescent="0.25">
      <c r="A10" s="158"/>
      <c r="B10" s="158"/>
      <c r="C10" s="158"/>
      <c r="D10" s="158"/>
      <c r="E10" s="40"/>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row>
    <row r="11" spans="1:35" x14ac:dyDescent="0.25">
      <c r="A11" s="158"/>
      <c r="B11" s="186">
        <v>33390</v>
      </c>
      <c r="C11" s="186">
        <v>33756</v>
      </c>
      <c r="D11" s="186">
        <v>34121</v>
      </c>
      <c r="E11" s="186">
        <v>34486</v>
      </c>
      <c r="F11" s="186">
        <v>34851</v>
      </c>
      <c r="G11" s="186">
        <v>35217</v>
      </c>
      <c r="H11" s="186">
        <v>35582</v>
      </c>
      <c r="I11" s="186">
        <v>35947</v>
      </c>
      <c r="J11" s="186">
        <v>36312</v>
      </c>
      <c r="K11" s="186">
        <v>36678</v>
      </c>
      <c r="L11" s="186">
        <v>37043</v>
      </c>
      <c r="M11" s="186">
        <v>37408</v>
      </c>
      <c r="N11" s="186">
        <v>37773</v>
      </c>
      <c r="O11" s="186">
        <v>38139</v>
      </c>
      <c r="P11" s="186">
        <v>38504</v>
      </c>
      <c r="Q11" s="186">
        <v>38869</v>
      </c>
      <c r="R11" s="186">
        <v>39234</v>
      </c>
      <c r="S11" s="186">
        <v>39600</v>
      </c>
      <c r="T11" s="186">
        <v>39965</v>
      </c>
      <c r="U11" s="186">
        <v>40330</v>
      </c>
      <c r="V11" s="186">
        <v>40695</v>
      </c>
      <c r="W11" s="186">
        <v>41061</v>
      </c>
      <c r="X11" s="186">
        <v>41426</v>
      </c>
      <c r="Y11" s="186">
        <v>41791</v>
      </c>
      <c r="Z11" s="186">
        <v>42156</v>
      </c>
      <c r="AA11" s="186">
        <v>42522</v>
      </c>
      <c r="AB11" s="186">
        <v>42887</v>
      </c>
      <c r="AC11" s="186">
        <v>43252</v>
      </c>
      <c r="AD11" s="186">
        <v>43617</v>
      </c>
      <c r="AE11" s="186">
        <v>43983</v>
      </c>
      <c r="AF11" s="186">
        <v>44348</v>
      </c>
      <c r="AG11" s="186">
        <v>44713</v>
      </c>
      <c r="AH11" s="186">
        <v>45078</v>
      </c>
      <c r="AI11" s="158"/>
    </row>
    <row r="12" spans="1:35" x14ac:dyDescent="0.25">
      <c r="A12" s="158"/>
      <c r="B12" s="158"/>
      <c r="C12" s="158"/>
      <c r="D12" s="158"/>
      <c r="E12" s="40"/>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row>
    <row r="13" spans="1:35" x14ac:dyDescent="0.25">
      <c r="A13" s="158"/>
      <c r="B13" s="158"/>
      <c r="C13" s="158"/>
      <c r="D13" s="158"/>
      <c r="E13" s="40"/>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row>
    <row r="14" spans="1:35" x14ac:dyDescent="0.25">
      <c r="A14" s="158"/>
      <c r="B14" s="158"/>
      <c r="C14" s="158"/>
      <c r="D14" s="158"/>
      <c r="E14" s="40"/>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row>
    <row r="15" spans="1:35" x14ac:dyDescent="0.25">
      <c r="A15" s="158"/>
      <c r="B15" s="158"/>
      <c r="C15" s="158"/>
      <c r="D15" s="158"/>
      <c r="E15" s="40"/>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row>
    <row r="16" spans="1:35" x14ac:dyDescent="0.25">
      <c r="A16" s="158"/>
      <c r="B16" s="158"/>
      <c r="C16" s="158"/>
      <c r="D16" s="158"/>
      <c r="E16" s="40"/>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row>
    <row r="17" spans="5:5" x14ac:dyDescent="0.25">
      <c r="E17" s="40"/>
    </row>
    <row r="18" spans="5:5" x14ac:dyDescent="0.25">
      <c r="E18" s="40"/>
    </row>
    <row r="19" spans="5:5" x14ac:dyDescent="0.25">
      <c r="E19" s="40"/>
    </row>
    <row r="20" spans="5:5" x14ac:dyDescent="0.25">
      <c r="E20" s="40"/>
    </row>
    <row r="21" spans="5:5" x14ac:dyDescent="0.25">
      <c r="E21" s="40"/>
    </row>
    <row r="22" spans="5:5" x14ac:dyDescent="0.25">
      <c r="E22" s="40"/>
    </row>
    <row r="23" spans="5:5" x14ac:dyDescent="0.25">
      <c r="E23" s="40"/>
    </row>
    <row r="24" spans="5:5" x14ac:dyDescent="0.25">
      <c r="E24" s="40"/>
    </row>
    <row r="25" spans="5:5" x14ac:dyDescent="0.25">
      <c r="E25" s="40"/>
    </row>
    <row r="26" spans="5:5" x14ac:dyDescent="0.25">
      <c r="E26" s="40"/>
    </row>
    <row r="27" spans="5:5" x14ac:dyDescent="0.25">
      <c r="E27" s="40"/>
    </row>
    <row r="28" spans="5:5" x14ac:dyDescent="0.25">
      <c r="E28" s="40"/>
    </row>
  </sheetData>
  <hyperlinks>
    <hyperlink ref="AA5" r:id="rId1" tooltip="Click once to display linked information. Click and hold to select this cell." display="http://nzdotstat.stats.govt.nz/OECDStat_Metadata/ShowMetadata.ashx?Dataset=TABLECODE7543&amp;Coords=[YEAR].[2016]&amp;ShowOnWeb=true&amp;Lang=en"/>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F34"/>
  <sheetViews>
    <sheetView topLeftCell="L1" workbookViewId="0">
      <selection activeCell="S14" sqref="S14"/>
    </sheetView>
  </sheetViews>
  <sheetFormatPr defaultRowHeight="15" x14ac:dyDescent="0.25"/>
  <sheetData>
    <row r="1" spans="1:32" x14ac:dyDescent="0.25">
      <c r="A1" s="158"/>
      <c r="B1" s="158">
        <v>1993</v>
      </c>
      <c r="C1" s="158">
        <f>+B1+1</f>
        <v>1994</v>
      </c>
      <c r="D1" s="158">
        <f t="shared" ref="D1:Y1" si="0">+C1+1</f>
        <v>1995</v>
      </c>
      <c r="E1" s="158">
        <f t="shared" si="0"/>
        <v>1996</v>
      </c>
      <c r="F1" s="158">
        <f t="shared" si="0"/>
        <v>1997</v>
      </c>
      <c r="G1" s="158">
        <f t="shared" si="0"/>
        <v>1998</v>
      </c>
      <c r="H1" s="158">
        <f t="shared" si="0"/>
        <v>1999</v>
      </c>
      <c r="I1" s="158">
        <f t="shared" si="0"/>
        <v>2000</v>
      </c>
      <c r="J1" s="158">
        <f t="shared" si="0"/>
        <v>2001</v>
      </c>
      <c r="K1" s="158">
        <f t="shared" si="0"/>
        <v>2002</v>
      </c>
      <c r="L1" s="158">
        <f t="shared" si="0"/>
        <v>2003</v>
      </c>
      <c r="M1" s="158">
        <f t="shared" si="0"/>
        <v>2004</v>
      </c>
      <c r="N1" s="158">
        <f t="shared" si="0"/>
        <v>2005</v>
      </c>
      <c r="O1" s="158">
        <f t="shared" si="0"/>
        <v>2006</v>
      </c>
      <c r="P1" s="158">
        <f t="shared" si="0"/>
        <v>2007</v>
      </c>
      <c r="Q1" s="158">
        <f t="shared" si="0"/>
        <v>2008</v>
      </c>
      <c r="R1" s="158">
        <f t="shared" si="0"/>
        <v>2009</v>
      </c>
      <c r="S1" s="158">
        <f t="shared" si="0"/>
        <v>2010</v>
      </c>
      <c r="T1" s="158">
        <f t="shared" si="0"/>
        <v>2011</v>
      </c>
      <c r="U1" s="158">
        <f t="shared" si="0"/>
        <v>2012</v>
      </c>
      <c r="V1" s="158">
        <f t="shared" si="0"/>
        <v>2013</v>
      </c>
      <c r="W1" s="158">
        <f t="shared" si="0"/>
        <v>2014</v>
      </c>
      <c r="X1" s="158">
        <f t="shared" si="0"/>
        <v>2015</v>
      </c>
      <c r="Y1" s="158">
        <f t="shared" si="0"/>
        <v>2016</v>
      </c>
      <c r="Z1" s="158">
        <v>2017</v>
      </c>
      <c r="AA1" s="158">
        <v>2018</v>
      </c>
      <c r="AB1" s="158">
        <f>+AA1+1</f>
        <v>2019</v>
      </c>
      <c r="AC1" s="158">
        <f t="shared" ref="AC1:AD1" si="1">+AB1+1</f>
        <v>2020</v>
      </c>
      <c r="AD1" s="158">
        <f t="shared" si="1"/>
        <v>2021</v>
      </c>
      <c r="AE1" s="158"/>
      <c r="AF1" s="158"/>
    </row>
    <row r="2" spans="1:32" x14ac:dyDescent="0.25">
      <c r="A2" s="158" t="s">
        <v>106</v>
      </c>
      <c r="B2" s="158">
        <v>753.18023300000004</v>
      </c>
      <c r="C2" s="158">
        <v>761.41708500000004</v>
      </c>
      <c r="D2" s="158">
        <v>796.302729</v>
      </c>
      <c r="E2" s="158">
        <v>812.22878300000002</v>
      </c>
      <c r="F2" s="158">
        <v>821.329386</v>
      </c>
      <c r="G2" s="158">
        <v>834.98028999999997</v>
      </c>
      <c r="H2" s="158">
        <v>831.94675500000005</v>
      </c>
      <c r="I2" s="158">
        <v>848.585691</v>
      </c>
      <c r="J2" s="158">
        <v>876.03993300000002</v>
      </c>
      <c r="K2" s="158">
        <v>900.16638899999998</v>
      </c>
      <c r="L2" s="158">
        <v>913.47753699999998</v>
      </c>
      <c r="M2" s="158">
        <v>935.10815300000002</v>
      </c>
      <c r="N2" s="158">
        <v>962</v>
      </c>
      <c r="O2" s="158">
        <v>1000</v>
      </c>
      <c r="P2" s="158">
        <v>1020</v>
      </c>
      <c r="Q2" s="158">
        <v>1061</v>
      </c>
      <c r="R2" s="158">
        <v>1081</v>
      </c>
      <c r="S2" s="158">
        <v>1099</v>
      </c>
      <c r="T2" s="158">
        <v>1157</v>
      </c>
      <c r="U2" s="158">
        <v>1168</v>
      </c>
      <c r="V2" s="158">
        <v>1176</v>
      </c>
      <c r="W2" s="158">
        <v>1195</v>
      </c>
      <c r="X2" s="158">
        <v>1200</v>
      </c>
      <c r="Y2" s="158">
        <v>1205</v>
      </c>
      <c r="Z2" s="114">
        <v>1227</v>
      </c>
      <c r="AA2" s="114">
        <v>1246</v>
      </c>
      <c r="AB2" s="114">
        <v>1273</v>
      </c>
      <c r="AC2" s="114">
        <v>1301</v>
      </c>
      <c r="AD2" s="114">
        <v>1329</v>
      </c>
      <c r="AE2" s="158"/>
      <c r="AF2" s="158"/>
    </row>
    <row r="3" spans="1:32" x14ac:dyDescent="0.25">
      <c r="A3" s="158" t="s">
        <v>107</v>
      </c>
      <c r="B3" s="158">
        <f>B2/$X$2</f>
        <v>0.62765019416666668</v>
      </c>
      <c r="C3" s="158">
        <f t="shared" ref="C3:AD3" si="2">C2/$X$2</f>
        <v>0.63451423750000002</v>
      </c>
      <c r="D3" s="158">
        <f t="shared" si="2"/>
        <v>0.66358560749999995</v>
      </c>
      <c r="E3" s="158">
        <f t="shared" si="2"/>
        <v>0.67685731916666669</v>
      </c>
      <c r="F3" s="158">
        <f t="shared" si="2"/>
        <v>0.68444115500000002</v>
      </c>
      <c r="G3" s="158">
        <f t="shared" si="2"/>
        <v>0.69581690833333332</v>
      </c>
      <c r="H3" s="158">
        <f t="shared" si="2"/>
        <v>0.69328896250000005</v>
      </c>
      <c r="I3" s="158">
        <f t="shared" si="2"/>
        <v>0.70715474249999999</v>
      </c>
      <c r="J3" s="158">
        <f t="shared" si="2"/>
        <v>0.73003327750000002</v>
      </c>
      <c r="K3" s="158">
        <f t="shared" si="2"/>
        <v>0.75013865749999997</v>
      </c>
      <c r="L3" s="158">
        <f t="shared" si="2"/>
        <v>0.76123128083333336</v>
      </c>
      <c r="M3" s="158">
        <f t="shared" si="2"/>
        <v>0.77925679416666671</v>
      </c>
      <c r="N3" s="158">
        <f t="shared" si="2"/>
        <v>0.80166666666666664</v>
      </c>
      <c r="O3" s="158">
        <f t="shared" si="2"/>
        <v>0.83333333333333337</v>
      </c>
      <c r="P3" s="158">
        <f t="shared" si="2"/>
        <v>0.85</v>
      </c>
      <c r="Q3" s="158">
        <f t="shared" si="2"/>
        <v>0.88416666666666666</v>
      </c>
      <c r="R3" s="158">
        <f t="shared" si="2"/>
        <v>0.90083333333333337</v>
      </c>
      <c r="S3" s="158">
        <f t="shared" si="2"/>
        <v>0.91583333333333339</v>
      </c>
      <c r="T3" s="158">
        <f t="shared" si="2"/>
        <v>0.96416666666666662</v>
      </c>
      <c r="U3" s="158">
        <f t="shared" si="2"/>
        <v>0.97333333333333338</v>
      </c>
      <c r="V3" s="158">
        <f t="shared" si="2"/>
        <v>0.98</v>
      </c>
      <c r="W3" s="158">
        <f t="shared" si="2"/>
        <v>0.99583333333333335</v>
      </c>
      <c r="X3" s="158">
        <f t="shared" si="2"/>
        <v>1</v>
      </c>
      <c r="Y3" s="158">
        <f t="shared" si="2"/>
        <v>1.0041666666666667</v>
      </c>
      <c r="Z3" s="158">
        <f t="shared" si="2"/>
        <v>1.0225</v>
      </c>
      <c r="AA3" s="158">
        <f t="shared" si="2"/>
        <v>1.0383333333333333</v>
      </c>
      <c r="AB3" s="158">
        <f t="shared" si="2"/>
        <v>1.0608333333333333</v>
      </c>
      <c r="AC3" s="158">
        <f t="shared" si="2"/>
        <v>1.0841666666666667</v>
      </c>
      <c r="AD3" s="158">
        <f t="shared" si="2"/>
        <v>1.1074999999999999</v>
      </c>
      <c r="AE3" s="158"/>
      <c r="AF3" s="158"/>
    </row>
    <row r="5" spans="1:32" x14ac:dyDescent="0.25">
      <c r="A5" s="158" t="s">
        <v>108</v>
      </c>
      <c r="B5" s="158"/>
      <c r="C5" s="158"/>
      <c r="D5" s="158"/>
      <c r="E5" s="158"/>
      <c r="F5" s="158"/>
      <c r="G5" s="158"/>
      <c r="H5" s="158"/>
      <c r="I5" s="158"/>
      <c r="J5" s="158"/>
      <c r="K5" s="158"/>
      <c r="L5" s="163"/>
      <c r="M5" s="163"/>
      <c r="N5" s="171"/>
      <c r="O5" s="171"/>
      <c r="P5" s="171"/>
      <c r="Q5" s="171"/>
      <c r="R5" s="171"/>
      <c r="S5" s="171"/>
      <c r="T5" s="171"/>
      <c r="U5" s="171"/>
      <c r="V5" s="171"/>
      <c r="W5" s="171"/>
      <c r="X5" s="171"/>
      <c r="Y5" s="171"/>
      <c r="Z5" s="172"/>
      <c r="AA5" s="172"/>
      <c r="AB5" s="172"/>
      <c r="AC5" s="172"/>
      <c r="AD5" s="172"/>
      <c r="AE5" s="158"/>
      <c r="AF5" s="158"/>
    </row>
    <row r="6" spans="1:32" x14ac:dyDescent="0.25">
      <c r="A6" s="158" t="s">
        <v>109</v>
      </c>
      <c r="B6" s="158"/>
      <c r="C6" s="158"/>
      <c r="D6" s="158"/>
      <c r="E6" s="158"/>
      <c r="F6" s="158"/>
      <c r="G6" s="158"/>
      <c r="H6" s="158"/>
      <c r="I6" s="158"/>
      <c r="J6" s="158"/>
      <c r="K6" s="158"/>
      <c r="L6" s="163"/>
      <c r="M6" s="163"/>
      <c r="N6" s="173"/>
      <c r="O6" s="173"/>
      <c r="P6" s="173"/>
      <c r="Q6" s="173"/>
      <c r="R6" s="173"/>
      <c r="S6" s="173"/>
      <c r="T6" s="173"/>
      <c r="U6" s="173"/>
      <c r="V6" s="173"/>
      <c r="W6" s="173"/>
      <c r="X6" s="173"/>
      <c r="Y6" s="173"/>
      <c r="Z6" s="174"/>
      <c r="AA6" s="174"/>
      <c r="AB6" s="174"/>
      <c r="AC6" s="174"/>
      <c r="AD6" s="174"/>
      <c r="AE6" s="158"/>
      <c r="AF6" s="158"/>
    </row>
    <row r="7" spans="1:32" x14ac:dyDescent="0.25">
      <c r="A7" s="158" t="s">
        <v>110</v>
      </c>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row>
    <row r="9" spans="1:32" x14ac:dyDescent="0.25">
      <c r="A9" s="158" t="s">
        <v>111</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row>
    <row r="10" spans="1:32" x14ac:dyDescent="0.25">
      <c r="A10" s="158" t="s">
        <v>112</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row>
    <row r="11" spans="1:32" x14ac:dyDescent="0.25">
      <c r="A11" s="158" t="s">
        <v>113</v>
      </c>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row>
    <row r="12" spans="1:32" x14ac:dyDescent="0.25">
      <c r="A12" s="158" t="s">
        <v>114</v>
      </c>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row>
    <row r="13" spans="1:32" x14ac:dyDescent="0.25">
      <c r="A13" s="158" t="s">
        <v>115</v>
      </c>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row>
    <row r="15" spans="1:32" x14ac:dyDescent="0.25">
      <c r="A15" s="158" t="s">
        <v>116</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row>
    <row r="16" spans="1:32" x14ac:dyDescent="0.25">
      <c r="A16" s="158" t="s">
        <v>117</v>
      </c>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row>
    <row r="17" spans="1:1" x14ac:dyDescent="0.25">
      <c r="A17" s="158" t="s">
        <v>118</v>
      </c>
    </row>
    <row r="18" spans="1:1" x14ac:dyDescent="0.25">
      <c r="A18" s="158" t="s">
        <v>119</v>
      </c>
    </row>
    <row r="19" spans="1:1" x14ac:dyDescent="0.25">
      <c r="A19" s="158" t="s">
        <v>120</v>
      </c>
    </row>
    <row r="20" spans="1:1" x14ac:dyDescent="0.25">
      <c r="A20" s="158" t="s">
        <v>121</v>
      </c>
    </row>
    <row r="21" spans="1:1" x14ac:dyDescent="0.25">
      <c r="A21" s="158" t="s">
        <v>122</v>
      </c>
    </row>
    <row r="23" spans="1:1" x14ac:dyDescent="0.25">
      <c r="A23" s="158" t="s">
        <v>123</v>
      </c>
    </row>
    <row r="25" spans="1:1" x14ac:dyDescent="0.25">
      <c r="A25" s="158" t="s">
        <v>124</v>
      </c>
    </row>
    <row r="26" spans="1:1" x14ac:dyDescent="0.25">
      <c r="A26" s="158" t="s">
        <v>125</v>
      </c>
    </row>
    <row r="28" spans="1:1" x14ac:dyDescent="0.25">
      <c r="A28" s="158" t="s">
        <v>126</v>
      </c>
    </row>
    <row r="29" spans="1:1" x14ac:dyDescent="0.25">
      <c r="A29" s="158" t="s">
        <v>127</v>
      </c>
    </row>
    <row r="31" spans="1:1" x14ac:dyDescent="0.25">
      <c r="A31" s="158" t="s">
        <v>128</v>
      </c>
    </row>
    <row r="32" spans="1:1" x14ac:dyDescent="0.25">
      <c r="A32" s="158" t="s">
        <v>129</v>
      </c>
    </row>
    <row r="33" spans="1:1" x14ac:dyDescent="0.25">
      <c r="A33" s="158" t="s">
        <v>130</v>
      </c>
    </row>
    <row r="34" spans="1:1" x14ac:dyDescent="0.25">
      <c r="A34" s="158" t="s">
        <v>131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D5"/>
  <sheetViews>
    <sheetView topLeftCell="U1" workbookViewId="0">
      <selection activeCell="V21" sqref="V21"/>
    </sheetView>
  </sheetViews>
  <sheetFormatPr defaultRowHeight="15" x14ac:dyDescent="0.25"/>
  <cols>
    <col min="1" max="1" width="27.7109375" bestFit="1" customWidth="1"/>
    <col min="2" max="7" width="9.5703125" customWidth="1"/>
  </cols>
  <sheetData>
    <row r="1" spans="1:30" s="62" customFormat="1" x14ac:dyDescent="0.25">
      <c r="A1" s="57"/>
      <c r="B1" s="111">
        <f t="shared" ref="B1:E1" si="0">+C1-1</f>
        <v>1993</v>
      </c>
      <c r="C1" s="111">
        <f t="shared" si="0"/>
        <v>1994</v>
      </c>
      <c r="D1" s="111">
        <f t="shared" si="0"/>
        <v>1995</v>
      </c>
      <c r="E1" s="111">
        <f t="shared" si="0"/>
        <v>1996</v>
      </c>
      <c r="F1" s="111">
        <f>+G1-1</f>
        <v>1997</v>
      </c>
      <c r="G1" s="58">
        <v>1998</v>
      </c>
      <c r="H1" s="59">
        <v>1999</v>
      </c>
      <c r="I1" s="60">
        <v>2000</v>
      </c>
      <c r="J1" s="59">
        <v>2001</v>
      </c>
      <c r="K1" s="60">
        <v>2002</v>
      </c>
      <c r="L1" s="59">
        <v>2003</v>
      </c>
      <c r="M1" s="60">
        <v>2004</v>
      </c>
      <c r="N1" s="59">
        <v>2005</v>
      </c>
      <c r="O1" s="60">
        <v>2006</v>
      </c>
      <c r="P1" s="59">
        <v>2007</v>
      </c>
      <c r="Q1" s="60">
        <v>2008</v>
      </c>
      <c r="R1" s="59">
        <v>2009</v>
      </c>
      <c r="S1" s="60">
        <v>2010</v>
      </c>
      <c r="T1" s="59">
        <v>2011</v>
      </c>
      <c r="U1" s="60">
        <v>2012</v>
      </c>
      <c r="V1" s="59">
        <v>2013</v>
      </c>
      <c r="W1" s="60">
        <v>2014</v>
      </c>
      <c r="X1" s="59">
        <v>2015</v>
      </c>
      <c r="Y1" s="61">
        <v>2016</v>
      </c>
    </row>
    <row r="2" spans="1:30" x14ac:dyDescent="0.25">
      <c r="A2" s="63"/>
      <c r="B2" s="112"/>
      <c r="C2" s="112"/>
      <c r="D2" s="112"/>
      <c r="E2" s="112"/>
      <c r="F2" s="112"/>
      <c r="G2" s="64"/>
      <c r="H2" s="65"/>
      <c r="I2" s="66"/>
      <c r="J2" s="65"/>
      <c r="K2" s="66"/>
      <c r="L2" s="65"/>
      <c r="M2" s="66"/>
      <c r="N2" s="67"/>
      <c r="O2" s="68"/>
      <c r="P2" s="67"/>
      <c r="Q2" s="68"/>
      <c r="R2" s="67"/>
      <c r="S2" s="68"/>
      <c r="T2" s="69"/>
      <c r="U2" s="70"/>
      <c r="V2" s="69"/>
      <c r="W2" s="70"/>
      <c r="X2" s="69"/>
      <c r="Y2" s="71"/>
      <c r="Z2" s="158"/>
      <c r="AA2" s="158"/>
      <c r="AB2" s="158"/>
      <c r="AC2" s="158"/>
      <c r="AD2" s="158"/>
    </row>
    <row r="3" spans="1:30" x14ac:dyDescent="0.25">
      <c r="A3" s="72" t="s">
        <v>132</v>
      </c>
      <c r="B3" s="113">
        <f t="shared" ref="B3:E3" si="1">+C3/C4</f>
        <v>5161.0493261520105</v>
      </c>
      <c r="C3" s="113">
        <f t="shared" si="1"/>
        <v>4953.9160545010855</v>
      </c>
      <c r="D3" s="113">
        <f t="shared" si="1"/>
        <v>4935.0500996539777</v>
      </c>
      <c r="E3" s="113">
        <f t="shared" si="1"/>
        <v>5019.8915568495422</v>
      </c>
      <c r="F3" s="113">
        <f>+G3/G4</f>
        <v>5086.5156006676298</v>
      </c>
      <c r="G3" s="73">
        <v>5106</v>
      </c>
      <c r="H3" s="12">
        <v>5071</v>
      </c>
      <c r="I3" s="11">
        <v>5068</v>
      </c>
      <c r="J3" s="12">
        <v>5273</v>
      </c>
      <c r="K3" s="11">
        <v>5450</v>
      </c>
      <c r="L3" s="12">
        <v>5642</v>
      </c>
      <c r="M3" s="11">
        <v>5889</v>
      </c>
      <c r="N3" s="12">
        <v>6083</v>
      </c>
      <c r="O3" s="11">
        <v>6414</v>
      </c>
      <c r="P3" s="12">
        <v>6810</v>
      </c>
      <c r="Q3" s="11">
        <v>7348</v>
      </c>
      <c r="R3" s="12">
        <v>7744</v>
      </c>
      <c r="S3" s="11">
        <v>8290</v>
      </c>
      <c r="T3" s="12">
        <v>8830</v>
      </c>
      <c r="U3" s="11">
        <v>9584</v>
      </c>
      <c r="V3" s="12">
        <v>10235</v>
      </c>
      <c r="W3" s="11">
        <v>10913</v>
      </c>
      <c r="X3" s="12">
        <v>11591</v>
      </c>
      <c r="Y3" s="74">
        <v>12267</v>
      </c>
      <c r="Z3" s="158">
        <v>13044</v>
      </c>
      <c r="AA3" s="158">
        <v>13671</v>
      </c>
      <c r="AB3" s="158">
        <v>14357</v>
      </c>
      <c r="AC3" s="158">
        <v>15164</v>
      </c>
      <c r="AD3" s="158">
        <v>15924</v>
      </c>
    </row>
    <row r="4" spans="1:30" x14ac:dyDescent="0.25">
      <c r="A4" s="158" t="s">
        <v>133</v>
      </c>
      <c r="B4" s="158">
        <v>0.96398882070881731</v>
      </c>
      <c r="C4" s="158">
        <v>0.95986605464099295</v>
      </c>
      <c r="D4" s="158">
        <v>0.99619170881388541</v>
      </c>
      <c r="E4" s="158">
        <v>1.017191610111823</v>
      </c>
      <c r="F4" s="158">
        <v>1.0132720085809783</v>
      </c>
      <c r="G4" s="158">
        <v>1.0038305985594171</v>
      </c>
      <c r="H4" s="158"/>
      <c r="I4" s="158"/>
      <c r="J4" s="158"/>
      <c r="K4" s="158"/>
      <c r="L4" s="158"/>
      <c r="M4" s="158"/>
      <c r="N4" s="158"/>
      <c r="O4" s="158"/>
      <c r="P4" s="158"/>
      <c r="Q4" s="158"/>
      <c r="R4" s="158"/>
      <c r="S4" s="158"/>
      <c r="T4" s="158"/>
      <c r="U4" s="158"/>
      <c r="V4" s="158"/>
      <c r="W4" s="158"/>
      <c r="X4" s="161"/>
      <c r="Y4" s="161"/>
      <c r="Z4" s="162"/>
      <c r="AA4" s="162"/>
      <c r="AB4" s="162"/>
      <c r="AC4" s="162"/>
      <c r="AD4" s="162"/>
    </row>
    <row r="5" spans="1:30" x14ac:dyDescent="0.25">
      <c r="A5" s="158" t="s">
        <v>134</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AE50"/>
  <sheetViews>
    <sheetView workbookViewId="0">
      <pane xSplit="1" topLeftCell="M1" activePane="topRight" state="frozen"/>
      <selection activeCell="V10" sqref="V10"/>
      <selection pane="topRight" activeCell="AD5" sqref="AD5"/>
    </sheetView>
  </sheetViews>
  <sheetFormatPr defaultRowHeight="15" x14ac:dyDescent="0.25"/>
  <cols>
    <col min="1" max="1" width="42.28515625" customWidth="1"/>
    <col min="6" max="8" width="10.5703125" customWidth="1"/>
    <col min="9" max="10" width="10.7109375" customWidth="1"/>
    <col min="11" max="25" width="10.5703125" customWidth="1"/>
  </cols>
  <sheetData>
    <row r="2" spans="1:31" s="8" customFormat="1" x14ac:dyDescent="0.25">
      <c r="A2" s="187" t="s">
        <v>0</v>
      </c>
      <c r="B2" s="7" t="s">
        <v>1</v>
      </c>
      <c r="C2" s="4" t="s">
        <v>2</v>
      </c>
      <c r="D2" s="3" t="s">
        <v>3</v>
      </c>
      <c r="E2" s="4" t="s">
        <v>4</v>
      </c>
      <c r="F2" s="3" t="s">
        <v>5</v>
      </c>
      <c r="G2" s="4" t="s">
        <v>6</v>
      </c>
      <c r="H2" s="3" t="s">
        <v>7</v>
      </c>
      <c r="I2" s="4" t="s">
        <v>8</v>
      </c>
      <c r="J2" s="1" t="s">
        <v>9</v>
      </c>
      <c r="K2" s="6" t="s">
        <v>10</v>
      </c>
      <c r="L2" s="5" t="s">
        <v>11</v>
      </c>
      <c r="M2" s="4" t="s">
        <v>12</v>
      </c>
      <c r="N2" s="3" t="s">
        <v>13</v>
      </c>
      <c r="O2" s="4" t="s">
        <v>14</v>
      </c>
      <c r="P2" s="3" t="s">
        <v>15</v>
      </c>
      <c r="Q2" s="2" t="s">
        <v>16</v>
      </c>
      <c r="R2" s="1" t="s">
        <v>17</v>
      </c>
      <c r="S2" s="2" t="s">
        <v>18</v>
      </c>
      <c r="T2" s="1" t="s">
        <v>19</v>
      </c>
      <c r="U2" s="2" t="s">
        <v>20</v>
      </c>
      <c r="V2" s="1" t="s">
        <v>21</v>
      </c>
      <c r="W2" s="2">
        <v>2014</v>
      </c>
      <c r="X2" s="1" t="s">
        <v>22</v>
      </c>
      <c r="Y2" s="2" t="s">
        <v>23</v>
      </c>
    </row>
    <row r="3" spans="1:31" x14ac:dyDescent="0.25">
      <c r="A3" s="188"/>
      <c r="B3" s="13" t="s">
        <v>24</v>
      </c>
      <c r="C3" s="10" t="s">
        <v>24</v>
      </c>
      <c r="D3" s="9" t="s">
        <v>24</v>
      </c>
      <c r="E3" s="10" t="s">
        <v>24</v>
      </c>
      <c r="F3" s="9" t="s">
        <v>24</v>
      </c>
      <c r="G3" s="10" t="s">
        <v>24</v>
      </c>
      <c r="H3" s="9" t="s">
        <v>24</v>
      </c>
      <c r="I3" s="10" t="s">
        <v>24</v>
      </c>
      <c r="J3" s="9" t="s">
        <v>24</v>
      </c>
      <c r="K3" s="10" t="s">
        <v>24</v>
      </c>
      <c r="L3" s="9" t="s">
        <v>24</v>
      </c>
      <c r="M3" s="10" t="s">
        <v>24</v>
      </c>
      <c r="N3" s="9" t="s">
        <v>24</v>
      </c>
      <c r="O3" s="10" t="s">
        <v>24</v>
      </c>
      <c r="P3" s="9" t="s">
        <v>24</v>
      </c>
      <c r="Q3" s="12" t="s">
        <v>24</v>
      </c>
      <c r="R3" s="11" t="s">
        <v>24</v>
      </c>
      <c r="S3" s="12" t="s">
        <v>24</v>
      </c>
      <c r="T3" s="11" t="s">
        <v>24</v>
      </c>
      <c r="U3" s="12" t="s">
        <v>24</v>
      </c>
      <c r="V3" s="11" t="s">
        <v>24</v>
      </c>
      <c r="W3" s="12" t="s">
        <v>24</v>
      </c>
      <c r="X3" s="9" t="s">
        <v>24</v>
      </c>
      <c r="Y3" s="12" t="s">
        <v>24</v>
      </c>
      <c r="Z3" s="158"/>
      <c r="AA3" s="158"/>
      <c r="AB3" s="158"/>
      <c r="AC3" s="158"/>
      <c r="AD3" s="158"/>
      <c r="AE3" s="158"/>
    </row>
    <row r="4" spans="1:31" x14ac:dyDescent="0.25">
      <c r="A4" s="188"/>
      <c r="B4" s="13" t="s">
        <v>25</v>
      </c>
      <c r="C4" s="10" t="s">
        <v>25</v>
      </c>
      <c r="D4" s="9" t="s">
        <v>25</v>
      </c>
      <c r="E4" s="10" t="s">
        <v>25</v>
      </c>
      <c r="F4" s="9" t="s">
        <v>25</v>
      </c>
      <c r="G4" s="10" t="s">
        <v>25</v>
      </c>
      <c r="H4" s="9" t="s">
        <v>25</v>
      </c>
      <c r="I4" s="10" t="s">
        <v>25</v>
      </c>
      <c r="J4" s="9" t="s">
        <v>25</v>
      </c>
      <c r="K4" s="10" t="s">
        <v>25</v>
      </c>
      <c r="L4" s="9" t="s">
        <v>25</v>
      </c>
      <c r="M4" s="10" t="s">
        <v>25</v>
      </c>
      <c r="N4" s="9" t="s">
        <v>25</v>
      </c>
      <c r="O4" s="10" t="s">
        <v>25</v>
      </c>
      <c r="P4" s="9" t="s">
        <v>25</v>
      </c>
      <c r="Q4" s="10" t="s">
        <v>25</v>
      </c>
      <c r="R4" s="9" t="s">
        <v>25</v>
      </c>
      <c r="S4" s="10" t="s">
        <v>25</v>
      </c>
      <c r="T4" s="9" t="s">
        <v>25</v>
      </c>
      <c r="U4" s="10" t="s">
        <v>25</v>
      </c>
      <c r="V4" s="9" t="s">
        <v>25</v>
      </c>
      <c r="W4" s="10" t="s">
        <v>25</v>
      </c>
      <c r="X4" s="9" t="s">
        <v>25</v>
      </c>
      <c r="Y4" s="10" t="s">
        <v>25</v>
      </c>
      <c r="Z4" s="158"/>
      <c r="AA4" s="158"/>
      <c r="AB4" s="158"/>
      <c r="AC4" s="158"/>
      <c r="AD4" s="158"/>
      <c r="AE4" s="158"/>
    </row>
    <row r="5" spans="1:31" s="18" customFormat="1" ht="15.75" customHeight="1" x14ac:dyDescent="0.25">
      <c r="A5" s="14" t="s">
        <v>26</v>
      </c>
      <c r="B5" s="17"/>
      <c r="C5" s="16"/>
      <c r="D5" s="15"/>
      <c r="E5" s="16"/>
      <c r="F5" s="15"/>
      <c r="G5" s="16"/>
      <c r="H5" s="15"/>
      <c r="I5" s="16"/>
      <c r="J5" s="15"/>
      <c r="K5" s="16"/>
      <c r="L5" s="15"/>
      <c r="M5" s="16"/>
      <c r="N5" s="15"/>
      <c r="O5" s="16"/>
      <c r="P5" s="15"/>
      <c r="Q5" s="16"/>
      <c r="R5" s="15"/>
      <c r="S5" s="16"/>
      <c r="T5" s="15"/>
      <c r="U5" s="16"/>
      <c r="V5" s="15"/>
      <c r="W5" s="16"/>
      <c r="X5" s="15"/>
      <c r="Y5" s="16"/>
      <c r="Z5" s="164">
        <v>2017</v>
      </c>
      <c r="AA5" s="164">
        <v>2018</v>
      </c>
      <c r="AB5" s="164">
        <v>2019</v>
      </c>
      <c r="AC5" s="164">
        <v>2020</v>
      </c>
      <c r="AD5" s="164">
        <v>2021</v>
      </c>
    </row>
    <row r="6" spans="1:31" s="23" customFormat="1" x14ac:dyDescent="0.25">
      <c r="A6" s="19" t="s">
        <v>72</v>
      </c>
      <c r="B6" s="22">
        <v>1464</v>
      </c>
      <c r="C6" s="21">
        <v>1723</v>
      </c>
      <c r="D6" s="20">
        <v>1340</v>
      </c>
      <c r="E6" s="21">
        <v>1565</v>
      </c>
      <c r="F6" s="20">
        <v>1667</v>
      </c>
      <c r="G6" s="21">
        <v>1562</v>
      </c>
      <c r="H6" s="20">
        <v>1705</v>
      </c>
      <c r="I6" s="21">
        <v>1710</v>
      </c>
      <c r="J6" s="20">
        <v>1798</v>
      </c>
      <c r="K6" s="21">
        <v>1540</v>
      </c>
      <c r="L6" s="20">
        <v>2130</v>
      </c>
      <c r="M6" s="21">
        <v>2091</v>
      </c>
      <c r="N6" s="20">
        <v>2567</v>
      </c>
      <c r="O6" s="21">
        <v>2507</v>
      </c>
      <c r="P6" s="20">
        <v>4816</v>
      </c>
      <c r="Q6" s="21">
        <v>3371</v>
      </c>
      <c r="R6" s="20">
        <v>5293</v>
      </c>
      <c r="S6" s="21">
        <v>2974</v>
      </c>
      <c r="T6" s="20">
        <v>5563</v>
      </c>
      <c r="U6" s="21">
        <v>5428</v>
      </c>
      <c r="V6" s="20">
        <v>4294</v>
      </c>
      <c r="W6" s="21">
        <v>4502</v>
      </c>
      <c r="X6" s="20">
        <v>4134</v>
      </c>
      <c r="Y6" s="21">
        <v>4102</v>
      </c>
      <c r="Z6" s="23">
        <f>Sheet1!O9</f>
        <v>4113</v>
      </c>
      <c r="AA6" s="23">
        <f>Sheet1!P9</f>
        <v>4772</v>
      </c>
      <c r="AB6" s="23">
        <f>Sheet1!Q9</f>
        <v>4494</v>
      </c>
      <c r="AC6" s="23">
        <f>Sheet1!R9</f>
        <v>4595</v>
      </c>
      <c r="AD6" s="23">
        <f>Sheet1!S9</f>
        <v>4632</v>
      </c>
      <c r="AE6" s="169">
        <f t="shared" ref="AE6:AE16" si="0">(AD6/Y6)^(1/(2021-2016))-1</f>
        <v>2.4600536481864665E-2</v>
      </c>
    </row>
    <row r="7" spans="1:31" s="28" customFormat="1" x14ac:dyDescent="0.25">
      <c r="A7" s="24" t="s">
        <v>27</v>
      </c>
      <c r="B7" s="27">
        <v>1173</v>
      </c>
      <c r="C7" s="26">
        <v>1049</v>
      </c>
      <c r="D7" s="25">
        <v>1013</v>
      </c>
      <c r="E7" s="26">
        <v>970</v>
      </c>
      <c r="F7" s="25">
        <v>946</v>
      </c>
      <c r="G7" s="26">
        <v>1065</v>
      </c>
      <c r="H7" s="25">
        <v>1030</v>
      </c>
      <c r="I7" s="26">
        <v>1247</v>
      </c>
      <c r="J7" s="25">
        <v>1242</v>
      </c>
      <c r="K7" s="26">
        <v>1162</v>
      </c>
      <c r="L7" s="25">
        <v>1199</v>
      </c>
      <c r="M7" s="26">
        <v>1311</v>
      </c>
      <c r="N7" s="25">
        <v>1275</v>
      </c>
      <c r="O7" s="26">
        <v>1383</v>
      </c>
      <c r="P7" s="25">
        <v>1517</v>
      </c>
      <c r="Q7" s="26">
        <v>1562</v>
      </c>
      <c r="R7" s="25">
        <v>1757</v>
      </c>
      <c r="S7" s="26">
        <v>1814</v>
      </c>
      <c r="T7" s="25">
        <v>1809</v>
      </c>
      <c r="U7" s="26">
        <v>1736</v>
      </c>
      <c r="V7" s="25">
        <v>1804</v>
      </c>
      <c r="W7" s="21">
        <v>1811</v>
      </c>
      <c r="X7" s="25">
        <v>1961</v>
      </c>
      <c r="Y7" s="26">
        <v>2026</v>
      </c>
      <c r="Z7" s="23">
        <f>Sheet1!O10</f>
        <v>2134</v>
      </c>
      <c r="AA7" s="23">
        <f>Sheet1!P10</f>
        <v>2262</v>
      </c>
      <c r="AB7" s="23">
        <f>Sheet1!Q10</f>
        <v>2424</v>
      </c>
      <c r="AC7" s="23">
        <f>Sheet1!R10</f>
        <v>2512</v>
      </c>
      <c r="AD7" s="23">
        <f>Sheet1!S10</f>
        <v>2600</v>
      </c>
      <c r="AE7" s="169">
        <f t="shared" si="0"/>
        <v>5.1155050694532633E-2</v>
      </c>
    </row>
    <row r="8" spans="1:31" s="28" customFormat="1" x14ac:dyDescent="0.25">
      <c r="A8" s="24" t="s">
        <v>135</v>
      </c>
      <c r="B8" s="27">
        <v>744</v>
      </c>
      <c r="C8" s="26">
        <v>711</v>
      </c>
      <c r="D8" s="25">
        <v>673</v>
      </c>
      <c r="E8" s="26">
        <v>977</v>
      </c>
      <c r="F8" s="25">
        <v>763</v>
      </c>
      <c r="G8" s="26">
        <v>840</v>
      </c>
      <c r="H8" s="25">
        <v>858</v>
      </c>
      <c r="I8" s="26">
        <v>944</v>
      </c>
      <c r="J8" s="25">
        <v>1037</v>
      </c>
      <c r="K8" s="26">
        <v>1013</v>
      </c>
      <c r="L8" s="25">
        <v>1054</v>
      </c>
      <c r="M8" s="26">
        <v>1192</v>
      </c>
      <c r="N8" s="25">
        <v>1444</v>
      </c>
      <c r="O8" s="26">
        <v>1592</v>
      </c>
      <c r="P8" s="25">
        <v>1595</v>
      </c>
      <c r="Q8" s="26">
        <v>2889</v>
      </c>
      <c r="R8" s="25">
        <v>2960</v>
      </c>
      <c r="S8" s="26">
        <v>2806</v>
      </c>
      <c r="T8" s="25">
        <v>2542</v>
      </c>
      <c r="U8" s="26">
        <v>2073</v>
      </c>
      <c r="V8" s="25">
        <v>1978</v>
      </c>
      <c r="W8" s="21">
        <v>2058</v>
      </c>
      <c r="X8" s="25">
        <v>2228</v>
      </c>
      <c r="Y8" s="26">
        <v>2107</v>
      </c>
      <c r="Z8" s="23">
        <f>Sheet1!O11</f>
        <v>2766</v>
      </c>
      <c r="AA8" s="23">
        <f>Sheet1!P11</f>
        <v>2966</v>
      </c>
      <c r="AB8" s="23">
        <f>Sheet1!Q11</f>
        <v>3041</v>
      </c>
      <c r="AC8" s="23">
        <f>Sheet1!R11</f>
        <v>3089</v>
      </c>
      <c r="AD8" s="23">
        <f>Sheet1!S11</f>
        <v>3192</v>
      </c>
      <c r="AE8" s="169">
        <f t="shared" si="0"/>
        <v>8.6624941904694275E-2</v>
      </c>
    </row>
    <row r="9" spans="1:31" s="28" customFormat="1" x14ac:dyDescent="0.25">
      <c r="A9" s="24" t="s">
        <v>28</v>
      </c>
      <c r="B9" s="27">
        <v>4539</v>
      </c>
      <c r="C9" s="26">
        <v>4627</v>
      </c>
      <c r="D9" s="25">
        <v>4803</v>
      </c>
      <c r="E9" s="26">
        <v>4949</v>
      </c>
      <c r="F9" s="25">
        <v>5335</v>
      </c>
      <c r="G9" s="26">
        <v>5714</v>
      </c>
      <c r="H9" s="25">
        <v>5899</v>
      </c>
      <c r="I9" s="26">
        <v>6310</v>
      </c>
      <c r="J9" s="25">
        <v>6136</v>
      </c>
      <c r="K9" s="26">
        <v>6473</v>
      </c>
      <c r="L9" s="25">
        <v>7016</v>
      </c>
      <c r="M9" s="26">
        <v>7585</v>
      </c>
      <c r="N9" s="25">
        <v>7930</v>
      </c>
      <c r="O9" s="26">
        <v>9914</v>
      </c>
      <c r="P9" s="25">
        <v>9269</v>
      </c>
      <c r="Q9" s="26">
        <v>9551</v>
      </c>
      <c r="R9" s="25">
        <v>11455</v>
      </c>
      <c r="S9" s="26">
        <v>11724</v>
      </c>
      <c r="T9" s="25">
        <v>11650</v>
      </c>
      <c r="U9" s="26">
        <v>11654</v>
      </c>
      <c r="V9" s="25">
        <v>12504</v>
      </c>
      <c r="W9" s="21">
        <v>12300</v>
      </c>
      <c r="X9" s="25">
        <v>12879</v>
      </c>
      <c r="Y9" s="26">
        <v>13158</v>
      </c>
      <c r="Z9" s="23">
        <f>Sheet1!O12</f>
        <v>13376</v>
      </c>
      <c r="AA9" s="23">
        <f>Sheet1!P12</f>
        <v>13776</v>
      </c>
      <c r="AB9" s="23">
        <f>Sheet1!Q12</f>
        <v>14555</v>
      </c>
      <c r="AC9" s="23">
        <f>Sheet1!R12</f>
        <v>15116</v>
      </c>
      <c r="AD9" s="23">
        <f>Sheet1!S12</f>
        <v>15853</v>
      </c>
      <c r="AE9" s="169">
        <f t="shared" si="0"/>
        <v>3.7968838561551532E-2</v>
      </c>
    </row>
    <row r="10" spans="1:31" s="28" customFormat="1" x14ac:dyDescent="0.25">
      <c r="A10" s="24" t="s">
        <v>136</v>
      </c>
      <c r="B10" s="27"/>
      <c r="C10" s="26"/>
      <c r="D10" s="25"/>
      <c r="E10" s="26"/>
      <c r="F10" s="25"/>
      <c r="G10" s="26"/>
      <c r="H10" s="25"/>
      <c r="I10" s="26"/>
      <c r="J10" s="25"/>
      <c r="K10" s="26"/>
      <c r="L10" s="25"/>
      <c r="M10" s="26"/>
      <c r="N10" s="25"/>
      <c r="O10" s="26"/>
      <c r="P10" s="25"/>
      <c r="Q10" s="26">
        <v>546</v>
      </c>
      <c r="R10" s="25">
        <v>416</v>
      </c>
      <c r="S10" s="26">
        <v>651</v>
      </c>
      <c r="T10" s="25">
        <v>1225</v>
      </c>
      <c r="U10" s="26">
        <v>769</v>
      </c>
      <c r="V10" s="25">
        <v>530</v>
      </c>
      <c r="W10" s="21">
        <v>533</v>
      </c>
      <c r="X10" s="25">
        <v>723</v>
      </c>
      <c r="Y10" s="26">
        <v>587</v>
      </c>
      <c r="Z10" s="23">
        <f>Sheet1!O13</f>
        <v>890</v>
      </c>
      <c r="AA10" s="23">
        <f>Sheet1!P13</f>
        <v>1003.9999999999999</v>
      </c>
      <c r="AB10" s="23">
        <f>Sheet1!Q13</f>
        <v>950</v>
      </c>
      <c r="AC10" s="23">
        <f>Sheet1!R13</f>
        <v>1031</v>
      </c>
      <c r="AD10" s="23">
        <f>Sheet1!S13</f>
        <v>1060</v>
      </c>
      <c r="AE10" s="169">
        <f t="shared" si="0"/>
        <v>0.1254690402741887</v>
      </c>
    </row>
    <row r="11" spans="1:31" s="28" customFormat="1" x14ac:dyDescent="0.25">
      <c r="A11" s="24" t="s">
        <v>29</v>
      </c>
      <c r="B11" s="27">
        <v>3961</v>
      </c>
      <c r="C11" s="26">
        <v>3788</v>
      </c>
      <c r="D11" s="25">
        <v>3757</v>
      </c>
      <c r="E11" s="26">
        <v>3703</v>
      </c>
      <c r="F11" s="25">
        <v>3072</v>
      </c>
      <c r="G11" s="26">
        <v>2804</v>
      </c>
      <c r="H11" s="25">
        <v>2516</v>
      </c>
      <c r="I11" s="26">
        <v>2373</v>
      </c>
      <c r="J11" s="25">
        <v>2304</v>
      </c>
      <c r="K11" s="26">
        <v>2118</v>
      </c>
      <c r="L11" s="25">
        <v>2360</v>
      </c>
      <c r="M11" s="26">
        <v>2252</v>
      </c>
      <c r="N11" s="25">
        <v>2274</v>
      </c>
      <c r="O11" s="26">
        <v>2356</v>
      </c>
      <c r="P11" s="25">
        <v>2329</v>
      </c>
      <c r="Q11" s="26">
        <v>2460</v>
      </c>
      <c r="R11" s="25">
        <v>2429</v>
      </c>
      <c r="S11" s="26">
        <v>2311</v>
      </c>
      <c r="T11" s="25">
        <v>3066</v>
      </c>
      <c r="U11" s="26">
        <v>3511</v>
      </c>
      <c r="V11" s="25">
        <v>3619</v>
      </c>
      <c r="W11" s="21">
        <v>3620</v>
      </c>
      <c r="X11" s="25">
        <v>3783</v>
      </c>
      <c r="Y11" s="26">
        <v>3590</v>
      </c>
      <c r="Z11" s="23">
        <f>Sheet1!O14</f>
        <v>3588</v>
      </c>
      <c r="AA11" s="23">
        <f>Sheet1!P14</f>
        <v>3493</v>
      </c>
      <c r="AB11" s="23">
        <f>Sheet1!Q14</f>
        <v>3403</v>
      </c>
      <c r="AC11" s="23">
        <f>Sheet1!R14</f>
        <v>3662</v>
      </c>
      <c r="AD11" s="23">
        <f>Sheet1!S14</f>
        <v>3806</v>
      </c>
      <c r="AE11" s="169">
        <f t="shared" si="0"/>
        <v>1.175385325813938E-2</v>
      </c>
    </row>
    <row r="12" spans="1:31" s="28" customFormat="1" x14ac:dyDescent="0.25">
      <c r="A12" s="24" t="s">
        <v>137</v>
      </c>
      <c r="B12" s="27" t="s">
        <v>138</v>
      </c>
      <c r="C12" s="26" t="s">
        <v>138</v>
      </c>
      <c r="D12" s="25" t="s">
        <v>138</v>
      </c>
      <c r="E12" s="26" t="s">
        <v>138</v>
      </c>
      <c r="F12" s="25" t="s">
        <v>138</v>
      </c>
      <c r="G12" s="26">
        <v>494</v>
      </c>
      <c r="H12" s="25">
        <v>1132</v>
      </c>
      <c r="I12" s="26">
        <v>478</v>
      </c>
      <c r="J12" s="25">
        <v>1112</v>
      </c>
      <c r="K12" s="26">
        <v>1409</v>
      </c>
      <c r="L12" s="25">
        <v>541</v>
      </c>
      <c r="M12" s="26">
        <v>591</v>
      </c>
      <c r="N12" s="25">
        <v>718</v>
      </c>
      <c r="O12" s="26">
        <v>761</v>
      </c>
      <c r="P12" s="25">
        <v>645</v>
      </c>
      <c r="Q12" s="26">
        <v>690</v>
      </c>
      <c r="R12" s="25">
        <v>655</v>
      </c>
      <c r="S12" s="26">
        <v>328</v>
      </c>
      <c r="T12" s="25">
        <v>305</v>
      </c>
      <c r="U12" s="26">
        <v>192</v>
      </c>
      <c r="V12" s="25">
        <v>278</v>
      </c>
      <c r="W12" s="21">
        <v>282</v>
      </c>
      <c r="X12" s="25">
        <v>358</v>
      </c>
      <c r="Y12" s="26">
        <v>271</v>
      </c>
      <c r="Z12" s="23">
        <f>Sheet1!O15</f>
        <v>214</v>
      </c>
      <c r="AA12" s="23">
        <f>Sheet1!P15</f>
        <v>220</v>
      </c>
      <c r="AB12" s="23">
        <f>Sheet1!Q15</f>
        <v>232</v>
      </c>
      <c r="AC12" s="23">
        <f>Sheet1!R15</f>
        <v>243</v>
      </c>
      <c r="AD12" s="23">
        <f>Sheet1!S15</f>
        <v>243</v>
      </c>
      <c r="AE12" s="169">
        <f t="shared" si="0"/>
        <v>-2.1575325320109751E-2</v>
      </c>
    </row>
    <row r="13" spans="1:31" s="28" customFormat="1" x14ac:dyDescent="0.25">
      <c r="A13" s="24" t="s">
        <v>30</v>
      </c>
      <c r="B13" s="27">
        <v>4168</v>
      </c>
      <c r="C13" s="26">
        <v>4602</v>
      </c>
      <c r="D13" s="25">
        <v>4886</v>
      </c>
      <c r="E13" s="26">
        <v>5228</v>
      </c>
      <c r="F13" s="25">
        <v>5626</v>
      </c>
      <c r="G13" s="26">
        <v>6001</v>
      </c>
      <c r="H13" s="25">
        <v>6573</v>
      </c>
      <c r="I13" s="26">
        <v>6874</v>
      </c>
      <c r="J13" s="25">
        <v>6660</v>
      </c>
      <c r="K13" s="26">
        <v>7032</v>
      </c>
      <c r="L13" s="25">
        <v>7501</v>
      </c>
      <c r="M13" s="26">
        <v>8111</v>
      </c>
      <c r="N13" s="25">
        <v>8813</v>
      </c>
      <c r="O13" s="26">
        <v>9547</v>
      </c>
      <c r="P13" s="25">
        <v>10355</v>
      </c>
      <c r="Q13" s="26">
        <v>11297</v>
      </c>
      <c r="R13" s="25">
        <v>12368</v>
      </c>
      <c r="S13" s="26">
        <v>13128</v>
      </c>
      <c r="T13" s="25">
        <v>13753</v>
      </c>
      <c r="U13" s="26">
        <v>14160</v>
      </c>
      <c r="V13" s="25">
        <v>14498</v>
      </c>
      <c r="W13" s="21">
        <v>14898</v>
      </c>
      <c r="X13" s="25">
        <v>15058</v>
      </c>
      <c r="Y13" s="26">
        <v>15626</v>
      </c>
      <c r="Z13" s="23">
        <f>Sheet1!O16</f>
        <v>16128.000000000002</v>
      </c>
      <c r="AA13" s="23">
        <f>Sheet1!P16</f>
        <v>16853</v>
      </c>
      <c r="AB13" s="23">
        <f>Sheet1!Q16</f>
        <v>17716</v>
      </c>
      <c r="AC13" s="23">
        <f>Sheet1!R16</f>
        <v>18320</v>
      </c>
      <c r="AD13" s="23">
        <f>Sheet1!S16</f>
        <v>18879</v>
      </c>
      <c r="AE13" s="169">
        <f t="shared" si="0"/>
        <v>3.8547185935948303E-2</v>
      </c>
    </row>
    <row r="14" spans="1:31" s="28" customFormat="1" x14ac:dyDescent="0.25">
      <c r="A14" s="24" t="s">
        <v>139</v>
      </c>
      <c r="B14" s="27">
        <v>310</v>
      </c>
      <c r="C14" s="26">
        <v>241</v>
      </c>
      <c r="D14" s="25">
        <v>233</v>
      </c>
      <c r="E14" s="26">
        <v>247</v>
      </c>
      <c r="F14" s="25">
        <v>277</v>
      </c>
      <c r="G14" s="26">
        <v>297</v>
      </c>
      <c r="H14" s="25">
        <v>316</v>
      </c>
      <c r="I14" s="26">
        <v>456</v>
      </c>
      <c r="J14" s="25">
        <v>400</v>
      </c>
      <c r="K14" s="26">
        <v>434</v>
      </c>
      <c r="L14" s="25">
        <v>515</v>
      </c>
      <c r="M14" s="26">
        <v>634</v>
      </c>
      <c r="N14" s="25">
        <v>991</v>
      </c>
      <c r="O14" s="26">
        <v>891</v>
      </c>
      <c r="P14" s="25">
        <v>844</v>
      </c>
      <c r="Q14" s="26">
        <v>561</v>
      </c>
      <c r="R14" s="25">
        <v>586</v>
      </c>
      <c r="S14" s="26">
        <v>630</v>
      </c>
      <c r="T14" s="25">
        <v>741</v>
      </c>
      <c r="U14" s="26">
        <v>863</v>
      </c>
      <c r="V14" s="25">
        <v>804</v>
      </c>
      <c r="W14" s="21">
        <v>842</v>
      </c>
      <c r="X14" s="25">
        <v>778</v>
      </c>
      <c r="Y14" s="26">
        <v>787</v>
      </c>
      <c r="Z14" s="23">
        <f>Sheet1!O17</f>
        <v>857</v>
      </c>
      <c r="AA14" s="23">
        <f>Sheet1!P17</f>
        <v>871</v>
      </c>
      <c r="AB14" s="23">
        <f>Sheet1!Q17</f>
        <v>904</v>
      </c>
      <c r="AC14" s="23">
        <f>Sheet1!R17</f>
        <v>904</v>
      </c>
      <c r="AD14" s="23">
        <f>Sheet1!S17</f>
        <v>912</v>
      </c>
      <c r="AE14" s="169">
        <f t="shared" si="0"/>
        <v>2.9921255482737941E-2</v>
      </c>
    </row>
    <row r="15" spans="1:31" s="28" customFormat="1" x14ac:dyDescent="0.25">
      <c r="A15" s="24" t="s">
        <v>140</v>
      </c>
      <c r="B15" s="27">
        <v>260</v>
      </c>
      <c r="C15" s="26">
        <v>39</v>
      </c>
      <c r="D15" s="25">
        <v>46</v>
      </c>
      <c r="E15" s="26">
        <v>40</v>
      </c>
      <c r="F15" s="25">
        <v>47</v>
      </c>
      <c r="G15" s="26">
        <v>29</v>
      </c>
      <c r="H15" s="25">
        <v>41</v>
      </c>
      <c r="I15" s="26">
        <v>68</v>
      </c>
      <c r="J15" s="25">
        <v>50</v>
      </c>
      <c r="K15" s="26">
        <v>93</v>
      </c>
      <c r="L15" s="25">
        <v>102</v>
      </c>
      <c r="M15" s="26">
        <v>139</v>
      </c>
      <c r="N15" s="25">
        <v>163</v>
      </c>
      <c r="O15" s="26">
        <v>202</v>
      </c>
      <c r="P15" s="25">
        <v>255</v>
      </c>
      <c r="Q15" s="26">
        <v>260</v>
      </c>
      <c r="R15" s="25">
        <v>297</v>
      </c>
      <c r="S15" s="26">
        <v>339</v>
      </c>
      <c r="T15" s="25">
        <v>943</v>
      </c>
      <c r="U15" s="26">
        <v>-46</v>
      </c>
      <c r="V15" s="25">
        <v>283</v>
      </c>
      <c r="W15" s="21">
        <v>347</v>
      </c>
      <c r="X15" s="25">
        <v>320</v>
      </c>
      <c r="Y15" s="26">
        <v>558</v>
      </c>
      <c r="Z15" s="23">
        <f>Sheet1!O18</f>
        <v>638</v>
      </c>
      <c r="AA15" s="23">
        <f>Sheet1!P18</f>
        <v>430</v>
      </c>
      <c r="AB15" s="23">
        <f>Sheet1!Q18</f>
        <v>476</v>
      </c>
      <c r="AC15" s="23">
        <f>Sheet1!R18</f>
        <v>458</v>
      </c>
      <c r="AD15" s="23">
        <f>Sheet1!S18</f>
        <v>496</v>
      </c>
      <c r="AE15" s="169">
        <f t="shared" si="0"/>
        <v>-2.3281316138826114E-2</v>
      </c>
    </row>
    <row r="16" spans="1:31" s="28" customFormat="1" x14ac:dyDescent="0.25">
      <c r="A16" s="24" t="s">
        <v>31</v>
      </c>
      <c r="B16" s="27">
        <v>1054</v>
      </c>
      <c r="C16" s="26">
        <v>1150</v>
      </c>
      <c r="D16" s="25">
        <v>1190</v>
      </c>
      <c r="E16" s="26">
        <v>1234</v>
      </c>
      <c r="F16" s="25">
        <v>1281</v>
      </c>
      <c r="G16" s="26">
        <v>1345</v>
      </c>
      <c r="H16" s="25">
        <v>1499</v>
      </c>
      <c r="I16" s="26">
        <v>1531</v>
      </c>
      <c r="J16" s="25">
        <v>1541</v>
      </c>
      <c r="K16" s="26">
        <v>1733</v>
      </c>
      <c r="L16" s="25">
        <v>1734</v>
      </c>
      <c r="M16" s="26">
        <v>1843</v>
      </c>
      <c r="N16" s="25">
        <v>1977</v>
      </c>
      <c r="O16" s="26">
        <v>2235</v>
      </c>
      <c r="P16" s="25">
        <v>2699</v>
      </c>
      <c r="Q16" s="26">
        <v>2894</v>
      </c>
      <c r="R16" s="25">
        <v>3089</v>
      </c>
      <c r="S16" s="26">
        <v>3191</v>
      </c>
      <c r="T16" s="25">
        <v>3382</v>
      </c>
      <c r="U16" s="26">
        <v>3403</v>
      </c>
      <c r="V16" s="25">
        <v>3456</v>
      </c>
      <c r="W16" s="21">
        <v>3501</v>
      </c>
      <c r="X16" s="25">
        <v>3515</v>
      </c>
      <c r="Y16" s="26">
        <v>3648</v>
      </c>
      <c r="Z16" s="23">
        <f>Sheet1!O19</f>
        <v>3967</v>
      </c>
      <c r="AA16" s="23">
        <f>Sheet1!P19</f>
        <v>4062</v>
      </c>
      <c r="AB16" s="23">
        <f>Sheet1!Q19</f>
        <v>4292</v>
      </c>
      <c r="AC16" s="23">
        <f>Sheet1!R19</f>
        <v>4474</v>
      </c>
      <c r="AD16" s="23">
        <f>Sheet1!S19</f>
        <v>4669</v>
      </c>
      <c r="AE16" s="169">
        <f t="shared" si="0"/>
        <v>5.059132125787702E-2</v>
      </c>
    </row>
    <row r="17" spans="1:31" s="28" customFormat="1" x14ac:dyDescent="0.25">
      <c r="A17" s="24" t="s">
        <v>141</v>
      </c>
      <c r="B17" s="31">
        <v>296</v>
      </c>
      <c r="C17" s="30">
        <v>-898</v>
      </c>
      <c r="D17" s="29">
        <v>-551</v>
      </c>
      <c r="E17" s="30">
        <v>-603</v>
      </c>
      <c r="F17" s="29">
        <v>12</v>
      </c>
      <c r="G17" s="30">
        <v>13</v>
      </c>
      <c r="H17" s="29">
        <v>-47</v>
      </c>
      <c r="I17" s="30">
        <v>-62</v>
      </c>
      <c r="J17" s="29">
        <v>-47</v>
      </c>
      <c r="K17" s="26">
        <v>75</v>
      </c>
      <c r="L17" s="25" t="s">
        <v>142</v>
      </c>
      <c r="M17" s="26"/>
      <c r="N17" s="25"/>
      <c r="O17" s="26"/>
      <c r="P17" s="25"/>
      <c r="Q17" s="26"/>
      <c r="R17" s="25"/>
      <c r="S17" s="26"/>
      <c r="T17" s="25"/>
      <c r="U17" s="26"/>
      <c r="V17" s="25"/>
      <c r="W17" s="21"/>
      <c r="X17" s="25"/>
      <c r="Y17" s="26"/>
      <c r="Z17" s="23">
        <f>Sheet1!O20</f>
        <v>0</v>
      </c>
      <c r="AA17" s="23">
        <f>Sheet1!P20</f>
        <v>0</v>
      </c>
      <c r="AB17" s="23">
        <f>Sheet1!Q20</f>
        <v>0</v>
      </c>
      <c r="AC17" s="23">
        <f>Sheet1!R20</f>
        <v>0</v>
      </c>
      <c r="AD17" s="23">
        <f>Sheet1!S20</f>
        <v>0</v>
      </c>
    </row>
    <row r="18" spans="1:31" s="28" customFormat="1" x14ac:dyDescent="0.25">
      <c r="A18" s="24" t="s">
        <v>143</v>
      </c>
      <c r="B18" s="27">
        <v>236</v>
      </c>
      <c r="C18" s="26">
        <v>14</v>
      </c>
      <c r="D18" s="25">
        <v>181</v>
      </c>
      <c r="E18" s="26">
        <v>48</v>
      </c>
      <c r="F18" s="25">
        <v>68</v>
      </c>
      <c r="G18" s="26">
        <v>167</v>
      </c>
      <c r="H18" s="25">
        <v>34</v>
      </c>
      <c r="I18" s="26">
        <v>45</v>
      </c>
      <c r="J18" s="25">
        <v>75</v>
      </c>
      <c r="K18" s="26">
        <v>110</v>
      </c>
      <c r="L18" s="25">
        <v>75</v>
      </c>
      <c r="M18" s="26">
        <v>52</v>
      </c>
      <c r="N18" s="25">
        <v>32</v>
      </c>
      <c r="O18" s="26">
        <v>49</v>
      </c>
      <c r="P18" s="25">
        <v>68</v>
      </c>
      <c r="Q18" s="26">
        <v>254</v>
      </c>
      <c r="R18" s="25">
        <v>118</v>
      </c>
      <c r="S18" s="26">
        <v>80</v>
      </c>
      <c r="T18" s="25">
        <v>479</v>
      </c>
      <c r="U18" s="26">
        <v>425</v>
      </c>
      <c r="V18" s="25">
        <v>603</v>
      </c>
      <c r="W18" s="21">
        <v>579</v>
      </c>
      <c r="X18" s="25">
        <v>145</v>
      </c>
      <c r="Y18" s="26">
        <v>461</v>
      </c>
      <c r="Z18" s="23">
        <f>Sheet1!O21</f>
        <v>444</v>
      </c>
      <c r="AA18" s="23">
        <f>Sheet1!P21</f>
        <v>406</v>
      </c>
      <c r="AB18" s="23">
        <f>Sheet1!Q21</f>
        <v>401</v>
      </c>
      <c r="AC18" s="23">
        <f>Sheet1!R21</f>
        <v>396</v>
      </c>
      <c r="AD18" s="23">
        <f>Sheet1!S21</f>
        <v>396</v>
      </c>
      <c r="AE18" s="169">
        <f>(AD18/Y18)^(1/(2021-2016))-1</f>
        <v>-2.993943020680967E-2</v>
      </c>
    </row>
    <row r="19" spans="1:31" s="28" customFormat="1" x14ac:dyDescent="0.25">
      <c r="A19" s="24" t="s">
        <v>144</v>
      </c>
      <c r="B19" s="27">
        <v>372</v>
      </c>
      <c r="C19" s="26">
        <v>299</v>
      </c>
      <c r="D19" s="25">
        <v>309</v>
      </c>
      <c r="E19" s="26">
        <v>304</v>
      </c>
      <c r="F19" s="25">
        <v>351</v>
      </c>
      <c r="G19" s="26">
        <v>423</v>
      </c>
      <c r="H19" s="25">
        <v>334</v>
      </c>
      <c r="I19" s="26">
        <v>265</v>
      </c>
      <c r="J19" s="25">
        <v>279</v>
      </c>
      <c r="K19" s="26">
        <v>304</v>
      </c>
      <c r="L19" s="25">
        <v>355</v>
      </c>
      <c r="M19" s="26">
        <v>368</v>
      </c>
      <c r="N19" s="25">
        <v>394</v>
      </c>
      <c r="O19" s="26">
        <v>467</v>
      </c>
      <c r="P19" s="25">
        <v>438</v>
      </c>
      <c r="Q19" s="26">
        <v>541</v>
      </c>
      <c r="R19" s="25">
        <v>534</v>
      </c>
      <c r="S19" s="26">
        <v>507</v>
      </c>
      <c r="T19" s="25">
        <v>706</v>
      </c>
      <c r="U19" s="26">
        <v>648</v>
      </c>
      <c r="V19" s="25">
        <v>659</v>
      </c>
      <c r="W19" s="21">
        <v>676</v>
      </c>
      <c r="X19" s="25">
        <v>667</v>
      </c>
      <c r="Y19" s="26">
        <v>749</v>
      </c>
      <c r="Z19" s="23">
        <f>Sheet1!O22</f>
        <v>712</v>
      </c>
      <c r="AA19" s="23">
        <f>Sheet1!P22</f>
        <v>719</v>
      </c>
      <c r="AB19" s="23">
        <f>Sheet1!Q22</f>
        <v>688</v>
      </c>
      <c r="AC19" s="23">
        <f>Sheet1!R22</f>
        <v>700</v>
      </c>
      <c r="AD19" s="23">
        <f>Sheet1!S22</f>
        <v>711</v>
      </c>
      <c r="AE19" s="169">
        <f>(AD19/Y19)^(1/(2021-2016))-1</f>
        <v>-1.035927993165997E-2</v>
      </c>
    </row>
    <row r="20" spans="1:31" s="28" customFormat="1" x14ac:dyDescent="0.25">
      <c r="A20" s="24" t="s">
        <v>145</v>
      </c>
      <c r="B20" s="27">
        <v>12071</v>
      </c>
      <c r="C20" s="26">
        <v>11479</v>
      </c>
      <c r="D20" s="25">
        <v>11724</v>
      </c>
      <c r="E20" s="26">
        <v>12240</v>
      </c>
      <c r="F20" s="25">
        <v>12620</v>
      </c>
      <c r="G20" s="26">
        <v>12509</v>
      </c>
      <c r="H20" s="25">
        <v>12906</v>
      </c>
      <c r="I20" s="26">
        <v>12896</v>
      </c>
      <c r="J20" s="25">
        <v>13207</v>
      </c>
      <c r="K20" s="26">
        <v>13485</v>
      </c>
      <c r="L20" s="25">
        <v>13907</v>
      </c>
      <c r="M20" s="26">
        <v>14252</v>
      </c>
      <c r="N20" s="25">
        <v>14682</v>
      </c>
      <c r="O20" s="26">
        <v>15598</v>
      </c>
      <c r="P20" s="25">
        <v>16768</v>
      </c>
      <c r="Q20" s="26">
        <v>17877</v>
      </c>
      <c r="R20" s="25">
        <v>19382</v>
      </c>
      <c r="S20" s="26">
        <v>21185</v>
      </c>
      <c r="T20" s="25">
        <v>22005</v>
      </c>
      <c r="U20" s="26">
        <v>22028</v>
      </c>
      <c r="V20" s="25">
        <v>22741</v>
      </c>
      <c r="W20" s="26">
        <v>23281</v>
      </c>
      <c r="X20" s="25">
        <v>23523</v>
      </c>
      <c r="Y20" s="26">
        <v>24081</v>
      </c>
      <c r="Z20" s="23">
        <f>Sheet1!O23</f>
        <v>25406</v>
      </c>
      <c r="AA20" s="23">
        <f>Sheet1!P23</f>
        <v>26322</v>
      </c>
      <c r="AB20" s="23">
        <f>Sheet1!Q23</f>
        <v>27545</v>
      </c>
      <c r="AC20" s="23">
        <f>Sheet1!R23</f>
        <v>28370</v>
      </c>
      <c r="AD20" s="23">
        <f>Sheet1!S23</f>
        <v>29319</v>
      </c>
      <c r="AE20" s="169">
        <f>(AD20/Y20)^(1/(2021-2016))-1</f>
        <v>4.0147494197621203E-2</v>
      </c>
    </row>
    <row r="21" spans="1:31" s="28" customFormat="1" x14ac:dyDescent="0.25">
      <c r="A21" s="32" t="s">
        <v>146</v>
      </c>
      <c r="B21" s="35">
        <v>781</v>
      </c>
      <c r="C21" s="34">
        <v>815</v>
      </c>
      <c r="D21" s="33">
        <v>796</v>
      </c>
      <c r="E21" s="34">
        <v>821</v>
      </c>
      <c r="F21" s="33">
        <v>888</v>
      </c>
      <c r="G21" s="34">
        <v>948</v>
      </c>
      <c r="H21" s="33">
        <v>1029</v>
      </c>
      <c r="I21" s="34">
        <v>1036</v>
      </c>
      <c r="J21" s="33">
        <v>905</v>
      </c>
      <c r="K21" s="34">
        <v>989</v>
      </c>
      <c r="L21" s="33">
        <v>1408</v>
      </c>
      <c r="M21" s="34">
        <v>1461</v>
      </c>
      <c r="N21" s="33">
        <v>1635</v>
      </c>
      <c r="O21" s="34">
        <v>1818</v>
      </c>
      <c r="P21" s="33">
        <v>2405</v>
      </c>
      <c r="Q21" s="34">
        <v>2244</v>
      </c>
      <c r="R21" s="33">
        <v>2663</v>
      </c>
      <c r="S21" s="34">
        <v>2345</v>
      </c>
      <c r="T21" s="33">
        <v>2281</v>
      </c>
      <c r="U21" s="34">
        <v>2232</v>
      </c>
      <c r="V21" s="33">
        <v>2255</v>
      </c>
      <c r="W21" s="21">
        <v>2237</v>
      </c>
      <c r="X21" s="33">
        <v>2291</v>
      </c>
      <c r="Y21" s="34">
        <v>2178</v>
      </c>
      <c r="Z21" s="23">
        <f>Sheet1!O24</f>
        <v>2233</v>
      </c>
      <c r="AA21" s="23">
        <f>Sheet1!P24</f>
        <v>2329</v>
      </c>
      <c r="AB21" s="23">
        <f>Sheet1!Q24</f>
        <v>2344</v>
      </c>
      <c r="AC21" s="23">
        <f>Sheet1!R24</f>
        <v>2364</v>
      </c>
      <c r="AD21" s="23">
        <f>Sheet1!S24</f>
        <v>2456</v>
      </c>
      <c r="AE21" s="169">
        <f>(AD21/Y21)^(1/(2021-2016))-1</f>
        <v>2.4316332280755582E-2</v>
      </c>
    </row>
    <row r="22" spans="1:31" s="28" customFormat="1" x14ac:dyDescent="0.25">
      <c r="A22" s="36" t="s">
        <v>35</v>
      </c>
      <c r="B22" s="39">
        <v>31429</v>
      </c>
      <c r="C22" s="38">
        <v>29639</v>
      </c>
      <c r="D22" s="37">
        <v>30400</v>
      </c>
      <c r="E22" s="38">
        <v>31743</v>
      </c>
      <c r="F22" s="37">
        <v>32953</v>
      </c>
      <c r="G22" s="38">
        <v>34211</v>
      </c>
      <c r="H22" s="37">
        <v>35825</v>
      </c>
      <c r="I22" s="38">
        <v>36171</v>
      </c>
      <c r="J22" s="37">
        <v>36699</v>
      </c>
      <c r="K22" s="38">
        <v>37970</v>
      </c>
      <c r="L22" s="37">
        <v>39897</v>
      </c>
      <c r="M22" s="38">
        <v>41882</v>
      </c>
      <c r="N22" s="37">
        <v>44895</v>
      </c>
      <c r="O22" s="38">
        <v>49320</v>
      </c>
      <c r="P22" s="37">
        <v>54003</v>
      </c>
      <c r="Q22" s="38">
        <v>56997</v>
      </c>
      <c r="R22" s="37">
        <v>64002</v>
      </c>
      <c r="S22" s="38">
        <v>64013</v>
      </c>
      <c r="T22" s="37">
        <v>70450</v>
      </c>
      <c r="U22" s="38">
        <v>69076</v>
      </c>
      <c r="V22" s="37">
        <v>70306</v>
      </c>
      <c r="W22" s="38">
        <f>SUM(W6:W21)</f>
        <v>71467</v>
      </c>
      <c r="X22" s="37">
        <v>72363</v>
      </c>
      <c r="Y22" s="38">
        <v>73929</v>
      </c>
      <c r="Z22" s="28">
        <v>77464.000000000015</v>
      </c>
      <c r="AA22" s="28">
        <v>80486</v>
      </c>
      <c r="AB22" s="28">
        <v>83466.000000000015</v>
      </c>
      <c r="AC22" s="28">
        <v>86234.000000000015</v>
      </c>
      <c r="AD22" s="28">
        <v>89223</v>
      </c>
      <c r="AE22" s="169">
        <f>(AD22/Y22)^(1/(2021-2016))-1</f>
        <v>3.8322817739935511E-2</v>
      </c>
    </row>
    <row r="23" spans="1:31" s="28" customFormat="1" x14ac:dyDescent="0.25">
      <c r="I23" s="23"/>
      <c r="X23" s="165"/>
      <c r="Y23" s="165"/>
      <c r="Z23" s="165"/>
      <c r="AA23" s="165"/>
      <c r="AB23" s="165"/>
      <c r="AC23" s="165"/>
      <c r="AD23" s="165"/>
    </row>
    <row r="24" spans="1:31" x14ac:dyDescent="0.25">
      <c r="A24" s="28" t="s">
        <v>36</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row>
    <row r="25" spans="1:31" x14ac:dyDescent="0.25">
      <c r="A25" s="158" t="s">
        <v>37</v>
      </c>
      <c r="B25" s="158"/>
      <c r="C25" s="158"/>
      <c r="D25" s="158"/>
      <c r="E25" s="158"/>
      <c r="F25" s="158"/>
      <c r="G25" s="158"/>
      <c r="H25" s="158"/>
      <c r="I25" s="158"/>
      <c r="J25" s="158"/>
      <c r="K25" s="158"/>
      <c r="L25" s="158"/>
      <c r="M25" s="40"/>
      <c r="N25" s="40"/>
      <c r="O25" s="40"/>
      <c r="P25" s="40"/>
      <c r="Q25" s="40"/>
      <c r="R25" s="40"/>
      <c r="S25" s="40"/>
      <c r="T25" s="40"/>
      <c r="U25" s="40"/>
      <c r="V25" s="40"/>
      <c r="W25" s="40"/>
      <c r="X25" s="40"/>
      <c r="Y25" s="40"/>
      <c r="Z25" s="28"/>
      <c r="AA25" s="28"/>
      <c r="AB25" s="28"/>
      <c r="AC25" s="28"/>
      <c r="AD25" s="28"/>
      <c r="AE25" s="158"/>
    </row>
    <row r="26" spans="1:31" x14ac:dyDescent="0.25">
      <c r="A26" s="158" t="s">
        <v>38</v>
      </c>
      <c r="B26" s="158"/>
      <c r="C26" s="158"/>
      <c r="D26" s="158"/>
      <c r="E26" s="158"/>
      <c r="F26" s="158"/>
      <c r="G26" s="158"/>
      <c r="H26" s="158"/>
      <c r="I26" s="158"/>
      <c r="J26" s="158"/>
      <c r="K26" s="158"/>
      <c r="L26" s="158"/>
      <c r="M26" s="40"/>
      <c r="N26" s="40"/>
      <c r="O26" s="40"/>
      <c r="P26" s="40"/>
      <c r="Q26" s="40"/>
      <c r="R26" s="40"/>
      <c r="S26" s="40"/>
      <c r="T26" s="40"/>
      <c r="U26" s="40"/>
      <c r="V26" s="40"/>
      <c r="W26" s="40"/>
      <c r="X26" s="40"/>
      <c r="Y26" s="40"/>
      <c r="Z26" s="158"/>
      <c r="AA26" s="158"/>
      <c r="AB26" s="158"/>
      <c r="AC26" s="158"/>
      <c r="AD26" s="158"/>
      <c r="AE26" s="158"/>
    </row>
    <row r="27" spans="1:31" x14ac:dyDescent="0.25">
      <c r="A27" s="158" t="s">
        <v>39</v>
      </c>
      <c r="B27" s="158"/>
      <c r="C27" s="158"/>
      <c r="D27" s="158"/>
      <c r="E27" s="158"/>
      <c r="F27" s="158"/>
      <c r="G27" s="158"/>
      <c r="H27" s="158"/>
      <c r="I27" s="158"/>
      <c r="J27" s="158"/>
      <c r="K27" s="158"/>
      <c r="L27" s="158"/>
      <c r="M27" s="40"/>
      <c r="N27" s="40"/>
      <c r="O27" s="40"/>
      <c r="P27" s="40"/>
      <c r="Q27" s="40"/>
      <c r="R27" s="40"/>
      <c r="S27" s="40"/>
      <c r="T27" s="40"/>
      <c r="U27" s="40"/>
      <c r="V27" s="40"/>
      <c r="W27" s="40"/>
      <c r="X27" s="40"/>
      <c r="Y27" s="40"/>
      <c r="Z27" s="158"/>
      <c r="AA27" s="158"/>
      <c r="AB27" s="158"/>
      <c r="AC27" s="158"/>
      <c r="AD27" s="158"/>
      <c r="AE27" s="158"/>
    </row>
    <row r="28" spans="1:31" x14ac:dyDescent="0.25">
      <c r="A28" s="41" t="s">
        <v>40</v>
      </c>
      <c r="B28" s="158"/>
      <c r="C28" s="158"/>
      <c r="D28" s="158"/>
      <c r="E28" s="158"/>
      <c r="F28" s="158"/>
      <c r="G28" s="158"/>
      <c r="H28" s="158"/>
      <c r="I28" s="158"/>
      <c r="J28" s="158"/>
      <c r="K28" s="158"/>
      <c r="L28" s="158"/>
      <c r="M28" s="40"/>
      <c r="N28" s="40"/>
      <c r="O28" s="40"/>
      <c r="P28" s="40"/>
      <c r="Q28" s="40"/>
      <c r="R28" s="40"/>
      <c r="S28" s="40"/>
      <c r="T28" s="40"/>
      <c r="U28" s="40"/>
      <c r="V28" s="40"/>
      <c r="W28" s="40"/>
      <c r="X28" s="40"/>
      <c r="Y28" s="40"/>
      <c r="Z28" s="158"/>
      <c r="AA28" s="158"/>
      <c r="AB28" s="158"/>
      <c r="AC28" s="158"/>
      <c r="AD28" s="158"/>
      <c r="AE28" s="158"/>
    </row>
    <row r="29" spans="1:31" x14ac:dyDescent="0.25">
      <c r="A29" s="158"/>
      <c r="B29" s="158"/>
      <c r="C29" s="158"/>
      <c r="D29" s="158"/>
      <c r="E29" s="158"/>
      <c r="F29" s="158"/>
      <c r="G29" s="158"/>
      <c r="H29" s="158"/>
      <c r="I29" s="158"/>
      <c r="J29" s="158"/>
      <c r="K29" s="158"/>
      <c r="L29" s="158"/>
      <c r="M29" s="40"/>
      <c r="N29" s="40"/>
      <c r="O29" s="40"/>
      <c r="P29" s="40"/>
      <c r="Q29" s="40"/>
      <c r="R29" s="40"/>
      <c r="S29" s="40"/>
      <c r="T29" s="40"/>
      <c r="U29" s="40"/>
      <c r="V29" s="40"/>
      <c r="W29" s="40"/>
      <c r="X29" s="40"/>
      <c r="Y29" s="40"/>
      <c r="Z29" s="158"/>
      <c r="AA29" s="158"/>
      <c r="AB29" s="158"/>
      <c r="AC29" s="158"/>
      <c r="AD29" s="158"/>
      <c r="AE29" s="158"/>
    </row>
    <row r="30" spans="1:31" x14ac:dyDescent="0.25">
      <c r="A30" s="158" t="s">
        <v>41</v>
      </c>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row>
    <row r="31" spans="1:31" x14ac:dyDescent="0.25">
      <c r="A31" s="41" t="s">
        <v>42</v>
      </c>
      <c r="B31" s="158"/>
      <c r="C31" s="158"/>
      <c r="D31" s="158"/>
      <c r="E31" s="158"/>
      <c r="F31" s="158"/>
      <c r="G31" s="158"/>
      <c r="H31" s="158"/>
      <c r="I31" s="158"/>
      <c r="J31" s="158"/>
      <c r="K31" s="158"/>
      <c r="L31" s="158"/>
      <c r="M31" s="158"/>
      <c r="N31" s="158"/>
      <c r="O31" s="158"/>
      <c r="P31" s="158"/>
      <c r="Q31" s="40"/>
      <c r="R31" s="158"/>
      <c r="S31" s="158"/>
      <c r="T31" s="158"/>
      <c r="U31" s="158"/>
      <c r="V31" s="158"/>
      <c r="W31" s="158"/>
      <c r="X31" s="158"/>
      <c r="Y31" s="158"/>
      <c r="Z31" s="158"/>
      <c r="AA31" s="158"/>
      <c r="AB31" s="158"/>
      <c r="AC31" s="158"/>
      <c r="AD31" s="158"/>
      <c r="AE31" s="158"/>
    </row>
    <row r="32" spans="1:31" x14ac:dyDescent="0.25">
      <c r="A32" s="41" t="s">
        <v>43</v>
      </c>
      <c r="B32" s="158"/>
      <c r="C32" s="158"/>
      <c r="D32" s="158"/>
      <c r="E32" s="158"/>
      <c r="F32" s="158"/>
      <c r="G32" s="158"/>
      <c r="H32" s="158"/>
      <c r="I32" s="158"/>
      <c r="J32" s="158"/>
      <c r="K32" s="158"/>
      <c r="L32" s="158"/>
      <c r="M32" s="158"/>
      <c r="N32" s="158"/>
      <c r="O32" s="158"/>
      <c r="P32" s="158"/>
      <c r="Q32" s="158"/>
      <c r="R32" s="158"/>
      <c r="S32" s="158"/>
      <c r="T32" s="158"/>
      <c r="U32" s="158"/>
      <c r="V32" s="40"/>
      <c r="W32" s="158"/>
      <c r="X32" s="158"/>
      <c r="Y32" s="158"/>
      <c r="Z32" s="158"/>
      <c r="AA32" s="158"/>
      <c r="AB32" s="158"/>
      <c r="AC32" s="158"/>
      <c r="AD32" s="158"/>
      <c r="AE32" s="158"/>
    </row>
    <row r="33" spans="1:22" x14ac:dyDescent="0.25">
      <c r="A33" s="41" t="s">
        <v>44</v>
      </c>
      <c r="B33" s="158"/>
      <c r="C33" s="158"/>
      <c r="D33" s="158"/>
      <c r="E33" s="158"/>
      <c r="F33" s="158"/>
      <c r="G33" s="158"/>
      <c r="H33" s="158"/>
      <c r="I33" s="158"/>
      <c r="J33" s="158"/>
      <c r="K33" s="158"/>
      <c r="L33" s="158"/>
      <c r="M33" s="158"/>
      <c r="N33" s="40"/>
      <c r="O33" s="40"/>
      <c r="P33" s="40"/>
      <c r="Q33" s="158"/>
      <c r="R33" s="158"/>
      <c r="S33" s="158"/>
      <c r="T33" s="158"/>
      <c r="U33" s="158"/>
      <c r="V33" s="40"/>
    </row>
    <row r="34" spans="1:22" x14ac:dyDescent="0.25">
      <c r="A34" s="158" t="s">
        <v>45</v>
      </c>
      <c r="B34" s="158"/>
      <c r="C34" s="158"/>
      <c r="D34" s="158"/>
      <c r="E34" s="158"/>
      <c r="F34" s="158"/>
      <c r="G34" s="158"/>
      <c r="H34" s="158"/>
      <c r="I34" s="158"/>
      <c r="J34" s="158"/>
      <c r="K34" s="158"/>
      <c r="L34" s="158"/>
      <c r="M34" s="158"/>
      <c r="N34" s="158"/>
      <c r="O34" s="158"/>
      <c r="P34" s="158"/>
      <c r="Q34" s="158"/>
      <c r="R34" s="158"/>
      <c r="S34" s="158"/>
      <c r="T34" s="158"/>
      <c r="U34" s="158"/>
      <c r="V34" s="158"/>
    </row>
    <row r="35" spans="1:22" x14ac:dyDescent="0.25">
      <c r="A35" s="158" t="s">
        <v>46</v>
      </c>
      <c r="B35" s="158"/>
      <c r="C35" s="158"/>
      <c r="D35" s="158"/>
      <c r="E35" s="158"/>
      <c r="F35" s="158"/>
      <c r="G35" s="158"/>
      <c r="H35" s="158"/>
      <c r="I35" s="158"/>
      <c r="J35" s="158"/>
      <c r="K35" s="158"/>
      <c r="L35" s="158"/>
      <c r="M35" s="158"/>
      <c r="N35" s="40"/>
      <c r="O35" s="40"/>
      <c r="P35" s="40"/>
      <c r="Q35" s="158"/>
      <c r="R35" s="158"/>
      <c r="S35" s="158"/>
      <c r="T35" s="158"/>
      <c r="U35" s="158"/>
      <c r="V35" s="158"/>
    </row>
    <row r="36" spans="1:22" x14ac:dyDescent="0.25">
      <c r="A36" s="158" t="s">
        <v>47</v>
      </c>
      <c r="B36" s="158"/>
      <c r="C36" s="158"/>
      <c r="D36" s="158"/>
      <c r="E36" s="158"/>
      <c r="F36" s="158"/>
      <c r="G36" s="158"/>
      <c r="H36" s="158"/>
      <c r="I36" s="158"/>
      <c r="J36" s="158"/>
      <c r="K36" s="158"/>
      <c r="L36" s="158"/>
      <c r="M36" s="158"/>
      <c r="N36" s="40"/>
      <c r="O36" s="40"/>
      <c r="P36" s="40"/>
      <c r="Q36" s="158"/>
      <c r="R36" s="158"/>
      <c r="S36" s="158"/>
      <c r="T36" s="158"/>
      <c r="U36" s="158"/>
      <c r="V36" s="158"/>
    </row>
    <row r="37" spans="1:22" x14ac:dyDescent="0.25">
      <c r="A37" s="158" t="s">
        <v>48</v>
      </c>
      <c r="B37" s="158"/>
      <c r="C37" s="158"/>
      <c r="D37" s="158"/>
      <c r="E37" s="158"/>
      <c r="F37" s="158"/>
      <c r="G37" s="158"/>
      <c r="H37" s="158"/>
      <c r="I37" s="158"/>
      <c r="J37" s="158"/>
      <c r="K37" s="158"/>
      <c r="L37" s="158"/>
      <c r="M37" s="158"/>
      <c r="N37" s="40"/>
      <c r="O37" s="40"/>
      <c r="P37" s="40"/>
      <c r="Q37" s="158"/>
      <c r="R37" s="158"/>
      <c r="S37" s="158"/>
      <c r="T37" s="158"/>
      <c r="U37" s="158"/>
      <c r="V37" s="158"/>
    </row>
    <row r="38" spans="1:22" x14ac:dyDescent="0.25">
      <c r="A38" s="158" t="s">
        <v>49</v>
      </c>
      <c r="B38" s="158"/>
      <c r="C38" s="158"/>
      <c r="D38" s="158"/>
      <c r="E38" s="158"/>
      <c r="F38" s="158"/>
      <c r="G38" s="158"/>
      <c r="H38" s="158"/>
      <c r="I38" s="158"/>
      <c r="J38" s="158"/>
      <c r="K38" s="158"/>
      <c r="L38" s="158"/>
      <c r="M38" s="158"/>
      <c r="N38" s="40"/>
      <c r="O38" s="40"/>
      <c r="P38" s="40"/>
      <c r="Q38" s="158"/>
      <c r="R38" s="158"/>
      <c r="S38" s="158"/>
      <c r="T38" s="158"/>
      <c r="U38" s="158"/>
      <c r="V38" s="158"/>
    </row>
    <row r="39" spans="1:22" x14ac:dyDescent="0.25">
      <c r="A39" s="158"/>
      <c r="B39" s="158"/>
      <c r="C39" s="158"/>
      <c r="D39" s="158"/>
      <c r="E39" s="158"/>
      <c r="F39" s="158"/>
      <c r="G39" s="158"/>
      <c r="H39" s="158"/>
      <c r="I39" s="158"/>
      <c r="J39" s="158"/>
      <c r="K39" s="158"/>
      <c r="L39" s="158"/>
      <c r="M39" s="158"/>
      <c r="N39" s="40"/>
      <c r="O39" s="40"/>
      <c r="P39" s="40"/>
      <c r="Q39" s="158"/>
      <c r="R39" s="158"/>
      <c r="S39" s="158"/>
      <c r="T39" s="158"/>
      <c r="U39" s="158"/>
      <c r="V39" s="158"/>
    </row>
    <row r="40" spans="1:22" x14ac:dyDescent="0.25">
      <c r="A40" s="158"/>
      <c r="B40" s="158"/>
      <c r="C40" s="158"/>
      <c r="D40" s="158"/>
      <c r="E40" s="158"/>
      <c r="F40" s="158"/>
      <c r="G40" s="158"/>
      <c r="H40" s="158"/>
      <c r="I40" s="158"/>
      <c r="J40" s="158"/>
      <c r="K40" s="158"/>
      <c r="L40" s="158"/>
      <c r="M40" s="158"/>
      <c r="N40" s="40"/>
      <c r="O40" s="40"/>
      <c r="P40" s="40"/>
      <c r="Q40" s="158"/>
      <c r="R40" s="158"/>
      <c r="S40" s="158"/>
      <c r="T40" s="158"/>
      <c r="U40" s="158"/>
      <c r="V40" s="158"/>
    </row>
    <row r="41" spans="1:22" x14ac:dyDescent="0.25">
      <c r="A41" s="158"/>
      <c r="B41" s="158"/>
      <c r="C41" s="158"/>
      <c r="D41" s="158"/>
      <c r="E41" s="158"/>
      <c r="F41" s="158"/>
      <c r="G41" s="158"/>
      <c r="H41" s="158"/>
      <c r="I41" s="158"/>
      <c r="J41" s="158"/>
      <c r="K41" s="158"/>
      <c r="L41" s="158"/>
      <c r="M41" s="158"/>
      <c r="N41" s="40"/>
      <c r="O41" s="40"/>
      <c r="P41" s="40"/>
      <c r="Q41" s="158"/>
      <c r="R41" s="158"/>
      <c r="S41" s="158"/>
      <c r="T41" s="158"/>
      <c r="U41" s="158"/>
      <c r="V41" s="158"/>
    </row>
    <row r="47" spans="1:22" x14ac:dyDescent="0.25">
      <c r="A47" s="158"/>
      <c r="B47" s="158"/>
      <c r="C47" s="158"/>
      <c r="D47" s="158"/>
      <c r="E47" s="158"/>
      <c r="F47" s="158"/>
      <c r="G47" s="158"/>
      <c r="H47" s="158"/>
      <c r="I47" s="158"/>
      <c r="J47" s="158"/>
      <c r="K47" s="158"/>
      <c r="L47" s="158"/>
      <c r="M47" s="158"/>
      <c r="N47" s="40"/>
      <c r="O47" s="40"/>
      <c r="P47" s="40"/>
      <c r="Q47" s="158"/>
      <c r="R47" s="158"/>
      <c r="S47" s="158"/>
      <c r="T47" s="158"/>
      <c r="U47" s="158"/>
      <c r="V47" s="158"/>
    </row>
    <row r="48" spans="1:22" x14ac:dyDescent="0.25">
      <c r="A48" s="158"/>
      <c r="B48" s="158"/>
      <c r="C48" s="158"/>
      <c r="D48" s="158"/>
      <c r="E48" s="40"/>
      <c r="F48" s="40"/>
      <c r="G48" s="40"/>
      <c r="H48" s="158"/>
      <c r="I48" s="158"/>
      <c r="J48" s="158"/>
      <c r="K48" s="158"/>
      <c r="L48" s="158"/>
      <c r="M48" s="158"/>
      <c r="N48" s="158"/>
      <c r="O48" s="158"/>
      <c r="P48" s="158"/>
      <c r="Q48" s="158"/>
      <c r="R48" s="158"/>
      <c r="S48" s="158"/>
      <c r="T48" s="158"/>
      <c r="U48" s="158"/>
      <c r="V48" s="158"/>
    </row>
    <row r="49" spans="5:13" x14ac:dyDescent="0.25">
      <c r="E49" s="158"/>
      <c r="F49" s="158"/>
      <c r="G49" s="158"/>
      <c r="H49" s="158"/>
      <c r="I49" s="158"/>
      <c r="J49" s="158"/>
      <c r="K49" s="158"/>
      <c r="L49" s="40"/>
      <c r="M49" s="158"/>
    </row>
    <row r="50" spans="5:13" x14ac:dyDescent="0.25">
      <c r="E50" s="40"/>
      <c r="F50" s="40"/>
      <c r="G50" s="40"/>
      <c r="H50" s="40"/>
      <c r="I50" s="40"/>
      <c r="J50" s="40"/>
      <c r="K50" s="40"/>
      <c r="L50" s="158"/>
      <c r="M50" s="40"/>
    </row>
  </sheetData>
  <mergeCells count="1">
    <mergeCell ref="A2:A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C39"/>
  <sheetViews>
    <sheetView topLeftCell="A10" workbookViewId="0">
      <selection activeCell="T40" sqref="T40"/>
    </sheetView>
  </sheetViews>
  <sheetFormatPr defaultRowHeight="15" x14ac:dyDescent="0.25"/>
  <cols>
    <col min="1" max="1" width="15.140625" customWidth="1"/>
  </cols>
  <sheetData>
    <row r="1" spans="1:22" x14ac:dyDescent="0.25">
      <c r="A1" s="202" t="s">
        <v>147</v>
      </c>
      <c r="B1" s="202"/>
      <c r="C1" s="202"/>
      <c r="D1" s="202"/>
      <c r="E1" s="202"/>
      <c r="F1" s="202"/>
      <c r="G1" s="202"/>
      <c r="H1" s="202"/>
      <c r="I1" s="202"/>
      <c r="J1" s="202"/>
      <c r="K1" s="202"/>
      <c r="L1" s="202"/>
      <c r="M1" s="202"/>
      <c r="N1" s="202"/>
      <c r="O1" s="202"/>
      <c r="P1" s="202"/>
      <c r="Q1" s="202"/>
      <c r="R1" s="202"/>
      <c r="S1" s="202"/>
      <c r="T1" s="202"/>
      <c r="U1" s="158"/>
      <c r="V1" s="158"/>
    </row>
    <row r="2" spans="1:22" x14ac:dyDescent="0.25">
      <c r="A2" s="158"/>
      <c r="B2" s="158"/>
      <c r="C2" s="158"/>
      <c r="D2" s="158"/>
      <c r="E2" s="158"/>
      <c r="F2" s="158"/>
      <c r="G2" s="158"/>
      <c r="H2" s="158"/>
      <c r="I2" s="158"/>
      <c r="J2" s="158"/>
      <c r="K2" s="158"/>
      <c r="L2" s="158"/>
      <c r="M2" s="158"/>
      <c r="N2" s="158"/>
      <c r="O2" s="158"/>
      <c r="P2" s="158"/>
      <c r="Q2" s="158"/>
      <c r="R2" s="158"/>
      <c r="S2" s="158"/>
      <c r="T2" s="158"/>
      <c r="U2" s="158"/>
      <c r="V2" s="158"/>
    </row>
    <row r="3" spans="1:22" x14ac:dyDescent="0.25">
      <c r="A3" s="160" t="s">
        <v>148</v>
      </c>
      <c r="B3" s="160">
        <v>1996</v>
      </c>
      <c r="C3" s="160">
        <v>1997</v>
      </c>
      <c r="D3" s="160">
        <v>1998</v>
      </c>
      <c r="E3" s="160">
        <v>1999</v>
      </c>
      <c r="F3" s="160">
        <v>2000</v>
      </c>
      <c r="G3" s="160">
        <v>2001</v>
      </c>
      <c r="H3" s="160">
        <v>2002</v>
      </c>
      <c r="I3" s="160">
        <v>2003</v>
      </c>
      <c r="J3" s="160">
        <v>2004</v>
      </c>
      <c r="K3" s="160">
        <v>2005</v>
      </c>
      <c r="L3" s="160">
        <v>2006</v>
      </c>
      <c r="M3" s="160">
        <v>2007</v>
      </c>
      <c r="N3" s="160">
        <v>2008</v>
      </c>
      <c r="O3" s="160">
        <v>2009</v>
      </c>
      <c r="P3" s="160">
        <v>2010</v>
      </c>
      <c r="Q3" s="160">
        <v>2011</v>
      </c>
      <c r="R3" s="160">
        <v>2012</v>
      </c>
      <c r="S3" s="160">
        <v>2013</v>
      </c>
      <c r="T3" s="160">
        <v>2014</v>
      </c>
      <c r="U3" s="160">
        <v>2015</v>
      </c>
      <c r="V3" s="160">
        <v>2016</v>
      </c>
    </row>
    <row r="4" spans="1:22" ht="22.5" x14ac:dyDescent="0.25">
      <c r="A4" s="160" t="s">
        <v>149</v>
      </c>
      <c r="B4" s="159">
        <v>605708</v>
      </c>
      <c r="C4" s="159">
        <v>618524</v>
      </c>
      <c r="D4" s="159">
        <v>629593</v>
      </c>
      <c r="E4" s="159">
        <v>630750</v>
      </c>
      <c r="F4" s="159">
        <v>631351</v>
      </c>
      <c r="G4" s="159">
        <v>632587</v>
      </c>
      <c r="H4" s="159">
        <v>642826</v>
      </c>
      <c r="I4" s="159">
        <v>652898</v>
      </c>
      <c r="J4" s="159">
        <v>653800</v>
      </c>
      <c r="K4" s="159">
        <v>650246</v>
      </c>
      <c r="L4" s="159">
        <v>647395</v>
      </c>
      <c r="M4" s="159">
        <v>644623</v>
      </c>
      <c r="N4" s="159">
        <v>642162</v>
      </c>
      <c r="O4" s="159">
        <v>644996</v>
      </c>
      <c r="P4" s="159">
        <v>648558</v>
      </c>
      <c r="Q4" s="159">
        <v>647218</v>
      </c>
      <c r="R4" s="159">
        <v>644581</v>
      </c>
      <c r="S4" s="159">
        <v>646836</v>
      </c>
      <c r="T4" s="159">
        <v>650542</v>
      </c>
      <c r="U4" s="159">
        <v>658995</v>
      </c>
      <c r="V4" s="159">
        <v>668952</v>
      </c>
    </row>
    <row r="5" spans="1:22" x14ac:dyDescent="0.25">
      <c r="A5" s="160" t="s">
        <v>150</v>
      </c>
      <c r="B5" s="159">
        <v>65907</v>
      </c>
      <c r="C5" s="159">
        <v>68118</v>
      </c>
      <c r="D5" s="159">
        <v>69980</v>
      </c>
      <c r="E5" s="159">
        <v>71946</v>
      </c>
      <c r="F5" s="159">
        <v>74143</v>
      </c>
      <c r="G5" s="159">
        <v>75440</v>
      </c>
      <c r="H5" s="159">
        <v>77636</v>
      </c>
      <c r="I5" s="159">
        <v>79966</v>
      </c>
      <c r="J5" s="159">
        <v>81678</v>
      </c>
      <c r="K5" s="159">
        <v>83152</v>
      </c>
      <c r="L5" s="159">
        <v>83423</v>
      </c>
      <c r="M5" s="159">
        <v>84490</v>
      </c>
      <c r="N5" s="159">
        <v>84877</v>
      </c>
      <c r="O5" s="159">
        <v>85433</v>
      </c>
      <c r="P5" s="159">
        <v>86837</v>
      </c>
      <c r="Q5" s="159">
        <v>86457</v>
      </c>
      <c r="R5" s="159">
        <v>86655</v>
      </c>
      <c r="S5" s="159">
        <v>87540</v>
      </c>
      <c r="T5" s="159">
        <v>88019</v>
      </c>
      <c r="U5" s="159">
        <v>88641</v>
      </c>
      <c r="V5" s="159">
        <v>89298</v>
      </c>
    </row>
    <row r="6" spans="1:22" x14ac:dyDescent="0.25">
      <c r="A6" s="160" t="s">
        <v>151</v>
      </c>
      <c r="B6" s="159">
        <v>24377</v>
      </c>
      <c r="C6" s="159">
        <v>24928</v>
      </c>
      <c r="D6" s="159">
        <v>24712</v>
      </c>
      <c r="E6" s="159">
        <v>24367</v>
      </c>
      <c r="F6" s="159">
        <v>24074</v>
      </c>
      <c r="G6" s="159">
        <v>25562</v>
      </c>
      <c r="H6" s="159">
        <v>27258</v>
      </c>
      <c r="I6" s="159">
        <v>28640</v>
      </c>
      <c r="J6" s="159">
        <v>29055</v>
      </c>
      <c r="K6" s="159">
        <v>29244</v>
      </c>
      <c r="L6" s="159">
        <v>29879</v>
      </c>
      <c r="M6" s="159">
        <v>30546</v>
      </c>
      <c r="N6" s="159">
        <v>30920</v>
      </c>
      <c r="O6" s="159">
        <v>30332</v>
      </c>
      <c r="P6" s="159">
        <v>28944</v>
      </c>
      <c r="Q6" s="159">
        <v>28901</v>
      </c>
      <c r="R6" s="159">
        <v>28615</v>
      </c>
      <c r="S6" s="159">
        <v>27927</v>
      </c>
      <c r="T6" s="159">
        <v>28268</v>
      </c>
      <c r="U6" s="159">
        <v>28401</v>
      </c>
      <c r="V6" s="159">
        <v>28712</v>
      </c>
    </row>
    <row r="7" spans="1:22" x14ac:dyDescent="0.25">
      <c r="A7" s="160" t="s">
        <v>152</v>
      </c>
      <c r="B7" s="159">
        <v>165</v>
      </c>
      <c r="C7" s="159">
        <v>121</v>
      </c>
      <c r="D7" s="159">
        <v>124</v>
      </c>
      <c r="E7" s="159">
        <v>94</v>
      </c>
      <c r="F7" s="159">
        <v>18</v>
      </c>
      <c r="G7" s="159">
        <v>185</v>
      </c>
      <c r="H7" s="159">
        <v>160</v>
      </c>
      <c r="I7" s="159">
        <v>174</v>
      </c>
      <c r="J7" s="159">
        <v>95</v>
      </c>
      <c r="K7" s="159">
        <v>114</v>
      </c>
      <c r="L7" s="159"/>
      <c r="M7" s="159">
        <v>168</v>
      </c>
      <c r="N7" s="159">
        <v>77</v>
      </c>
      <c r="O7" s="159">
        <v>42</v>
      </c>
      <c r="P7" s="159"/>
      <c r="Q7" s="159">
        <v>27</v>
      </c>
      <c r="R7" s="159">
        <v>23</v>
      </c>
      <c r="S7" s="159">
        <v>25</v>
      </c>
      <c r="T7" s="159">
        <v>8</v>
      </c>
      <c r="U7" s="159">
        <v>28</v>
      </c>
      <c r="V7" s="159">
        <v>28</v>
      </c>
    </row>
    <row r="8" spans="1:22" x14ac:dyDescent="0.25">
      <c r="A8" s="160" t="s">
        <v>153</v>
      </c>
      <c r="B8" s="159">
        <v>178</v>
      </c>
      <c r="C8" s="159">
        <v>157</v>
      </c>
      <c r="D8" s="159">
        <v>170</v>
      </c>
      <c r="E8" s="159">
        <v>141</v>
      </c>
      <c r="F8" s="159">
        <v>103</v>
      </c>
      <c r="G8" s="159">
        <v>33</v>
      </c>
      <c r="H8" s="159">
        <v>30</v>
      </c>
      <c r="I8" s="159">
        <v>31</v>
      </c>
      <c r="J8" s="159">
        <v>26</v>
      </c>
      <c r="K8" s="159">
        <v>34</v>
      </c>
      <c r="L8" s="159">
        <v>48</v>
      </c>
      <c r="M8" s="159">
        <v>51</v>
      </c>
      <c r="N8" s="159">
        <v>58</v>
      </c>
      <c r="O8" s="159">
        <v>56</v>
      </c>
      <c r="P8" s="159">
        <v>59</v>
      </c>
      <c r="Q8" s="159">
        <v>79</v>
      </c>
      <c r="R8" s="159">
        <v>86</v>
      </c>
      <c r="S8" s="159">
        <v>72</v>
      </c>
      <c r="T8" s="159">
        <v>69</v>
      </c>
      <c r="U8" s="159">
        <v>55</v>
      </c>
      <c r="V8" s="159">
        <v>73</v>
      </c>
    </row>
    <row r="9" spans="1:22" ht="22.5" x14ac:dyDescent="0.25">
      <c r="A9" s="160" t="s">
        <v>154</v>
      </c>
      <c r="B9" s="159"/>
      <c r="C9" s="159"/>
      <c r="D9" s="159"/>
      <c r="E9" s="159"/>
      <c r="F9" s="159"/>
      <c r="G9" s="159"/>
      <c r="H9" s="159"/>
      <c r="I9" s="159"/>
      <c r="J9" s="159"/>
      <c r="K9" s="159"/>
      <c r="L9" s="159"/>
      <c r="M9" s="159"/>
      <c r="N9" s="159"/>
      <c r="O9" s="159"/>
      <c r="P9" s="159"/>
      <c r="Q9" s="159"/>
      <c r="R9" s="159"/>
      <c r="S9" s="159"/>
      <c r="T9" s="159">
        <v>357</v>
      </c>
      <c r="U9" s="159">
        <v>695</v>
      </c>
      <c r="V9" s="159">
        <v>897</v>
      </c>
    </row>
    <row r="10" spans="1:22" x14ac:dyDescent="0.25">
      <c r="A10" s="160"/>
      <c r="B10" s="159"/>
      <c r="C10" s="159"/>
      <c r="D10" s="159"/>
      <c r="E10" s="159"/>
      <c r="F10" s="159"/>
      <c r="G10" s="159"/>
      <c r="H10" s="159"/>
      <c r="I10" s="159"/>
      <c r="J10" s="159"/>
      <c r="K10" s="159"/>
      <c r="L10" s="159"/>
      <c r="M10" s="159"/>
      <c r="N10" s="159"/>
      <c r="O10" s="159"/>
      <c r="P10" s="159"/>
      <c r="Q10" s="159"/>
      <c r="R10" s="159"/>
      <c r="S10" s="159"/>
      <c r="T10" s="159"/>
      <c r="U10" s="159"/>
      <c r="V10" s="159"/>
    </row>
    <row r="11" spans="1:22" x14ac:dyDescent="0.25">
      <c r="A11" s="160"/>
      <c r="B11" s="159"/>
      <c r="C11" s="159"/>
      <c r="D11" s="159"/>
      <c r="E11" s="159"/>
      <c r="F11" s="159"/>
      <c r="G11" s="159"/>
      <c r="H11" s="159"/>
      <c r="I11" s="159"/>
      <c r="J11" s="159"/>
      <c r="K11" s="159"/>
      <c r="L11" s="159"/>
      <c r="M11" s="159"/>
      <c r="N11" s="159"/>
      <c r="O11" s="159"/>
      <c r="P11" s="159"/>
      <c r="Q11" s="159"/>
      <c r="R11" s="159"/>
      <c r="S11" s="159"/>
      <c r="T11" s="159"/>
      <c r="U11" s="159"/>
      <c r="V11" s="159"/>
    </row>
    <row r="12" spans="1:22" x14ac:dyDescent="0.25">
      <c r="A12" s="160"/>
      <c r="B12" s="159"/>
      <c r="C12" s="159"/>
      <c r="D12" s="159"/>
      <c r="E12" s="159"/>
      <c r="F12" s="159"/>
      <c r="G12" s="159"/>
      <c r="H12" s="159"/>
      <c r="I12" s="159"/>
      <c r="J12" s="159"/>
      <c r="K12" s="159"/>
      <c r="L12" s="159"/>
      <c r="M12" s="159"/>
      <c r="N12" s="159"/>
      <c r="O12" s="159"/>
      <c r="P12" s="159"/>
      <c r="Q12" s="159"/>
      <c r="R12" s="159"/>
      <c r="S12" s="159"/>
      <c r="T12" s="159"/>
      <c r="U12" s="159"/>
      <c r="V12" s="159"/>
    </row>
    <row r="13" spans="1:22" x14ac:dyDescent="0.25">
      <c r="A13" s="160"/>
      <c r="B13" s="159"/>
      <c r="C13" s="159"/>
      <c r="D13" s="159"/>
      <c r="E13" s="159"/>
      <c r="F13" s="159"/>
      <c r="G13" s="159"/>
      <c r="H13" s="159"/>
      <c r="I13" s="159"/>
      <c r="J13" s="159"/>
      <c r="K13" s="159"/>
      <c r="L13" s="159"/>
      <c r="M13" s="159"/>
      <c r="N13" s="159"/>
      <c r="O13" s="159"/>
      <c r="P13" s="159"/>
      <c r="Q13" s="159"/>
      <c r="R13" s="159"/>
      <c r="S13" s="159"/>
      <c r="T13" s="159"/>
      <c r="U13" s="159"/>
      <c r="V13" s="159"/>
    </row>
    <row r="14" spans="1:22" x14ac:dyDescent="0.25">
      <c r="A14" s="160"/>
      <c r="B14" s="159"/>
      <c r="C14" s="159"/>
      <c r="D14" s="159"/>
      <c r="E14" s="159"/>
      <c r="F14" s="159"/>
      <c r="G14" s="159"/>
      <c r="H14" s="159"/>
      <c r="I14" s="159"/>
      <c r="J14" s="159"/>
      <c r="K14" s="159"/>
      <c r="L14" s="159"/>
      <c r="M14" s="159"/>
      <c r="N14" s="159"/>
      <c r="O14" s="159"/>
      <c r="P14" s="159"/>
      <c r="Q14" s="159"/>
      <c r="R14" s="159"/>
      <c r="S14" s="159"/>
      <c r="T14" s="159"/>
      <c r="U14" s="159"/>
      <c r="V14" s="159"/>
    </row>
    <row r="15" spans="1:22" x14ac:dyDescent="0.25">
      <c r="A15" s="160"/>
      <c r="B15" s="159"/>
      <c r="C15" s="159"/>
      <c r="D15" s="159"/>
      <c r="E15" s="159"/>
      <c r="F15" s="159"/>
      <c r="G15" s="159"/>
      <c r="H15" s="159"/>
      <c r="I15" s="159"/>
      <c r="J15" s="159"/>
      <c r="K15" s="159"/>
      <c r="L15" s="159"/>
      <c r="M15" s="159"/>
      <c r="N15" s="159"/>
      <c r="O15" s="159"/>
      <c r="P15" s="159"/>
      <c r="Q15" s="159"/>
      <c r="R15" s="159"/>
      <c r="S15" s="159"/>
      <c r="T15" s="159"/>
      <c r="U15" s="159"/>
      <c r="V15" s="159"/>
    </row>
    <row r="16" spans="1:22" x14ac:dyDescent="0.25">
      <c r="A16" s="160"/>
      <c r="B16" s="159"/>
      <c r="C16" s="159"/>
      <c r="D16" s="159"/>
      <c r="E16" s="159"/>
      <c r="F16" s="159"/>
      <c r="G16" s="159"/>
      <c r="H16" s="159"/>
      <c r="I16" s="159"/>
      <c r="J16" s="159"/>
      <c r="K16" s="159"/>
      <c r="L16" s="159"/>
      <c r="M16" s="159"/>
      <c r="N16" s="159"/>
      <c r="O16" s="159"/>
      <c r="P16" s="159"/>
      <c r="Q16" s="159"/>
      <c r="R16" s="159"/>
      <c r="S16" s="159"/>
      <c r="T16" s="159"/>
      <c r="U16" s="159"/>
      <c r="V16" s="159"/>
    </row>
    <row r="17" spans="1:55" x14ac:dyDescent="0.25">
      <c r="A17" s="160"/>
      <c r="B17" s="159"/>
      <c r="C17" s="159"/>
      <c r="D17" s="159"/>
      <c r="E17" s="159"/>
      <c r="F17" s="159"/>
      <c r="G17" s="159"/>
      <c r="H17" s="159"/>
      <c r="I17" s="159"/>
      <c r="J17" s="159"/>
      <c r="K17" s="159"/>
      <c r="L17" s="159"/>
      <c r="M17" s="159"/>
      <c r="N17" s="159"/>
      <c r="O17" s="159"/>
      <c r="P17" s="159"/>
      <c r="Q17" s="159"/>
      <c r="R17" s="159"/>
      <c r="S17" s="159"/>
      <c r="T17" s="159"/>
      <c r="U17" s="159"/>
      <c r="V17" s="159"/>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row>
    <row r="18" spans="1:55" x14ac:dyDescent="0.25">
      <c r="A18" s="160"/>
      <c r="B18" s="159"/>
      <c r="C18" s="159"/>
      <c r="D18" s="159"/>
      <c r="E18" s="159"/>
      <c r="F18" s="159"/>
      <c r="G18" s="159"/>
      <c r="H18" s="159"/>
      <c r="I18" s="159"/>
      <c r="J18" s="159"/>
      <c r="K18" s="159"/>
      <c r="L18" s="159"/>
      <c r="M18" s="159"/>
      <c r="N18" s="159"/>
      <c r="O18" s="159"/>
      <c r="P18" s="159"/>
      <c r="Q18" s="159"/>
      <c r="R18" s="159"/>
      <c r="S18" s="159"/>
      <c r="T18" s="159"/>
      <c r="U18" s="159"/>
      <c r="V18" s="159"/>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row>
    <row r="19" spans="1:55" x14ac:dyDescent="0.25">
      <c r="A19" s="160"/>
      <c r="B19" s="159"/>
      <c r="C19" s="159"/>
      <c r="D19" s="159"/>
      <c r="E19" s="159"/>
      <c r="F19" s="159"/>
      <c r="G19" s="159"/>
      <c r="H19" s="159"/>
      <c r="I19" s="159"/>
      <c r="J19" s="159"/>
      <c r="K19" s="159"/>
      <c r="L19" s="159"/>
      <c r="M19" s="159"/>
      <c r="N19" s="159"/>
      <c r="O19" s="159"/>
      <c r="P19" s="159"/>
      <c r="Q19" s="159"/>
      <c r="R19" s="159"/>
      <c r="S19" s="159"/>
      <c r="T19" s="159"/>
      <c r="U19" s="159"/>
      <c r="V19" s="159"/>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row>
    <row r="22" spans="1:55" x14ac:dyDescent="0.25">
      <c r="A22" s="158" t="s">
        <v>155</v>
      </c>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row>
    <row r="23" spans="1:55" x14ac:dyDescent="0.25">
      <c r="A23" s="158"/>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row>
    <row r="25" spans="1:55" x14ac:dyDescent="0.25">
      <c r="A25" s="158" t="s">
        <v>156</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row>
    <row r="26" spans="1:55" x14ac:dyDescent="0.25">
      <c r="A26" s="158"/>
      <c r="B26" s="158" t="s">
        <v>157</v>
      </c>
      <c r="C26" s="158">
        <v>1999</v>
      </c>
      <c r="D26" s="158">
        <v>2000</v>
      </c>
      <c r="E26" s="158">
        <v>2001</v>
      </c>
      <c r="F26" s="158">
        <v>2002</v>
      </c>
      <c r="G26" s="158">
        <v>2003</v>
      </c>
      <c r="H26" s="158">
        <v>2004</v>
      </c>
      <c r="I26" s="158">
        <v>2005</v>
      </c>
      <c r="J26" s="158">
        <v>2006</v>
      </c>
      <c r="K26" s="158">
        <v>2007</v>
      </c>
      <c r="L26" s="158">
        <v>2008</v>
      </c>
      <c r="M26" s="158">
        <v>2009</v>
      </c>
      <c r="N26" s="158">
        <v>2010</v>
      </c>
      <c r="O26" s="158">
        <v>2011</v>
      </c>
      <c r="P26" s="158">
        <v>2012</v>
      </c>
      <c r="Q26" s="158">
        <v>2013</v>
      </c>
      <c r="R26" s="158">
        <v>2014</v>
      </c>
      <c r="S26" s="158">
        <v>2015</v>
      </c>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row>
    <row r="27" spans="1:55" x14ac:dyDescent="0.25">
      <c r="A27" s="158" t="s">
        <v>158</v>
      </c>
      <c r="B27" s="158" t="s">
        <v>159</v>
      </c>
      <c r="C27" s="40">
        <v>257700</v>
      </c>
      <c r="D27" s="40">
        <v>266810</v>
      </c>
      <c r="E27" s="40">
        <v>279865</v>
      </c>
      <c r="F27" s="40">
        <v>314680</v>
      </c>
      <c r="G27" s="40">
        <v>355585</v>
      </c>
      <c r="H27" s="40">
        <v>377385</v>
      </c>
      <c r="I27" s="40">
        <v>391275</v>
      </c>
      <c r="J27" s="40">
        <v>383735</v>
      </c>
      <c r="K27" s="40">
        <v>381935</v>
      </c>
      <c r="L27" s="40">
        <v>362125</v>
      </c>
      <c r="M27" s="40">
        <v>365475</v>
      </c>
      <c r="N27" s="40">
        <v>361785</v>
      </c>
      <c r="O27" s="40">
        <v>326645</v>
      </c>
      <c r="P27" s="40">
        <v>322310</v>
      </c>
      <c r="Q27" s="40">
        <v>312310</v>
      </c>
      <c r="R27" s="40">
        <v>308655</v>
      </c>
      <c r="S27" s="40">
        <v>307055</v>
      </c>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row>
    <row r="28" spans="1:55" x14ac:dyDescent="0.25">
      <c r="A28" s="158"/>
      <c r="B28" s="158" t="s">
        <v>160</v>
      </c>
      <c r="C28" s="40">
        <v>10100</v>
      </c>
      <c r="D28" s="40">
        <v>13205</v>
      </c>
      <c r="E28" s="40">
        <v>20040</v>
      </c>
      <c r="F28" s="40">
        <v>29810</v>
      </c>
      <c r="G28" s="40">
        <v>37700</v>
      </c>
      <c r="H28" s="40">
        <v>41545</v>
      </c>
      <c r="I28" s="40">
        <v>39365</v>
      </c>
      <c r="J28" s="40">
        <v>35405</v>
      </c>
      <c r="K28" s="40">
        <v>32570</v>
      </c>
      <c r="L28" s="40">
        <v>31665</v>
      </c>
      <c r="M28" s="40">
        <v>33765</v>
      </c>
      <c r="N28" s="40">
        <v>35140</v>
      </c>
      <c r="O28" s="40">
        <v>35490</v>
      </c>
      <c r="P28" s="40">
        <v>35680</v>
      </c>
      <c r="Q28" s="40">
        <v>36390</v>
      </c>
      <c r="R28" s="40">
        <v>38985</v>
      </c>
      <c r="S28" s="40">
        <v>43315</v>
      </c>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row>
    <row r="29" spans="1:55" x14ac:dyDescent="0.25">
      <c r="A29" s="158"/>
      <c r="B29" s="158" t="s">
        <v>93</v>
      </c>
      <c r="C29" s="40">
        <v>267800</v>
      </c>
      <c r="D29" s="40">
        <v>280015</v>
      </c>
      <c r="E29" s="40">
        <v>299905</v>
      </c>
      <c r="F29" s="40">
        <v>344490</v>
      </c>
      <c r="G29" s="40">
        <v>393285</v>
      </c>
      <c r="H29" s="40">
        <v>418930</v>
      </c>
      <c r="I29" s="40">
        <v>430640</v>
      </c>
      <c r="J29" s="40">
        <v>419145</v>
      </c>
      <c r="K29" s="40">
        <v>414505</v>
      </c>
      <c r="L29" s="40">
        <v>393785</v>
      </c>
      <c r="M29" s="40">
        <v>399240</v>
      </c>
      <c r="N29" s="40">
        <v>396925</v>
      </c>
      <c r="O29" s="40">
        <v>362135</v>
      </c>
      <c r="P29" s="40">
        <v>357990</v>
      </c>
      <c r="Q29" s="40">
        <v>348700</v>
      </c>
      <c r="R29" s="40">
        <v>347645</v>
      </c>
      <c r="S29" s="40">
        <v>350370</v>
      </c>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row>
    <row r="30" spans="1:55" x14ac:dyDescent="0.25">
      <c r="A30" s="158" t="s">
        <v>161</v>
      </c>
      <c r="B30" s="158" t="s">
        <v>159</v>
      </c>
      <c r="C30" s="40">
        <v>294415</v>
      </c>
      <c r="D30" s="40">
        <v>314660</v>
      </c>
      <c r="E30" s="40">
        <v>342425</v>
      </c>
      <c r="F30" s="40">
        <v>381105</v>
      </c>
      <c r="G30" s="40">
        <v>407405</v>
      </c>
      <c r="H30" s="40">
        <v>432775</v>
      </c>
      <c r="I30" s="40">
        <v>452415</v>
      </c>
      <c r="J30" s="40">
        <v>445515</v>
      </c>
      <c r="K30" s="40">
        <v>441750</v>
      </c>
      <c r="L30" s="40">
        <v>418655</v>
      </c>
      <c r="M30" s="40">
        <v>423000</v>
      </c>
      <c r="N30" s="40">
        <v>418135</v>
      </c>
      <c r="O30" s="40">
        <v>381425</v>
      </c>
      <c r="P30" s="40">
        <v>372730</v>
      </c>
      <c r="Q30" s="40">
        <v>368665</v>
      </c>
      <c r="R30" s="40">
        <v>363080</v>
      </c>
      <c r="S30" s="40">
        <v>358305</v>
      </c>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row>
    <row r="31" spans="1:55" x14ac:dyDescent="0.25">
      <c r="A31" s="158"/>
      <c r="B31" s="158" t="s">
        <v>160</v>
      </c>
      <c r="C31" s="40">
        <v>11745</v>
      </c>
      <c r="D31" s="40">
        <v>16590</v>
      </c>
      <c r="E31" s="40">
        <v>26255</v>
      </c>
      <c r="F31" s="40">
        <v>38415</v>
      </c>
      <c r="G31" s="40">
        <v>47135</v>
      </c>
      <c r="H31" s="40">
        <v>50375</v>
      </c>
      <c r="I31" s="40">
        <v>47325</v>
      </c>
      <c r="J31" s="40">
        <v>42770</v>
      </c>
      <c r="K31" s="40">
        <v>40035</v>
      </c>
      <c r="L31" s="40">
        <v>39835</v>
      </c>
      <c r="M31" s="40">
        <v>43430</v>
      </c>
      <c r="N31" s="40">
        <v>45665</v>
      </c>
      <c r="O31" s="40">
        <v>48075</v>
      </c>
      <c r="P31" s="40">
        <v>47480</v>
      </c>
      <c r="Q31" s="40">
        <v>48005</v>
      </c>
      <c r="R31" s="40">
        <v>53875</v>
      </c>
      <c r="S31" s="40">
        <v>61430</v>
      </c>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row>
    <row r="32" spans="1:55" x14ac:dyDescent="0.25">
      <c r="A32" s="158"/>
      <c r="B32" s="158" t="s">
        <v>93</v>
      </c>
      <c r="C32" s="40">
        <v>306165</v>
      </c>
      <c r="D32" s="40">
        <v>331250</v>
      </c>
      <c r="E32" s="40">
        <v>368680</v>
      </c>
      <c r="F32" s="40">
        <v>419520</v>
      </c>
      <c r="G32" s="40">
        <v>454540</v>
      </c>
      <c r="H32" s="40">
        <v>483150</v>
      </c>
      <c r="I32" s="40">
        <v>499740</v>
      </c>
      <c r="J32" s="40">
        <v>488285</v>
      </c>
      <c r="K32" s="40">
        <v>481780</v>
      </c>
      <c r="L32" s="40">
        <v>458490</v>
      </c>
      <c r="M32" s="40">
        <v>466435</v>
      </c>
      <c r="N32" s="40">
        <v>463800</v>
      </c>
      <c r="O32" s="40">
        <v>429500</v>
      </c>
      <c r="P32" s="40">
        <v>420210</v>
      </c>
      <c r="Q32" s="40">
        <v>416675</v>
      </c>
      <c r="R32" s="40">
        <v>416955</v>
      </c>
      <c r="S32" s="40">
        <v>419735</v>
      </c>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row>
    <row r="35" spans="1:20" x14ac:dyDescent="0.25">
      <c r="A35" s="158" t="s">
        <v>162</v>
      </c>
      <c r="B35" s="158"/>
      <c r="C35" s="158"/>
      <c r="D35" s="158"/>
      <c r="E35" s="158"/>
      <c r="F35" s="158"/>
      <c r="G35" s="158"/>
      <c r="H35" s="158"/>
      <c r="I35" s="158"/>
      <c r="J35" s="158"/>
      <c r="K35" s="158"/>
      <c r="L35" s="158"/>
      <c r="M35" s="158"/>
      <c r="N35" s="158"/>
      <c r="O35" s="158"/>
      <c r="P35" s="158"/>
      <c r="Q35" s="158"/>
      <c r="R35" s="158"/>
      <c r="S35" s="158"/>
      <c r="T35" s="158"/>
    </row>
    <row r="37" spans="1:20" x14ac:dyDescent="0.25">
      <c r="A37" s="158" t="s">
        <v>163</v>
      </c>
      <c r="B37" s="158"/>
      <c r="C37" s="158">
        <f>+C26</f>
        <v>1999</v>
      </c>
      <c r="D37" s="158">
        <f t="shared" ref="D37:S37" si="0">+D26</f>
        <v>2000</v>
      </c>
      <c r="E37" s="158">
        <f t="shared" si="0"/>
        <v>2001</v>
      </c>
      <c r="F37" s="158">
        <f t="shared" si="0"/>
        <v>2002</v>
      </c>
      <c r="G37" s="158">
        <f t="shared" si="0"/>
        <v>2003</v>
      </c>
      <c r="H37" s="158">
        <f t="shared" si="0"/>
        <v>2004</v>
      </c>
      <c r="I37" s="158">
        <f t="shared" si="0"/>
        <v>2005</v>
      </c>
      <c r="J37" s="158">
        <f t="shared" si="0"/>
        <v>2006</v>
      </c>
      <c r="K37" s="158">
        <f t="shared" si="0"/>
        <v>2007</v>
      </c>
      <c r="L37" s="158">
        <f t="shared" si="0"/>
        <v>2008</v>
      </c>
      <c r="M37" s="158">
        <f t="shared" si="0"/>
        <v>2009</v>
      </c>
      <c r="N37" s="158">
        <f t="shared" si="0"/>
        <v>2010</v>
      </c>
      <c r="O37" s="158">
        <f t="shared" si="0"/>
        <v>2011</v>
      </c>
      <c r="P37" s="158">
        <f t="shared" si="0"/>
        <v>2012</v>
      </c>
      <c r="Q37" s="158">
        <f t="shared" si="0"/>
        <v>2013</v>
      </c>
      <c r="R37" s="158">
        <f t="shared" si="0"/>
        <v>2014</v>
      </c>
      <c r="S37" s="158">
        <f t="shared" si="0"/>
        <v>2015</v>
      </c>
      <c r="T37" s="158">
        <v>2016</v>
      </c>
    </row>
    <row r="38" spans="1:20" x14ac:dyDescent="0.25">
      <c r="A38" s="158"/>
      <c r="B38" s="158"/>
      <c r="C38" s="40">
        <f>+C27+E4+E5</f>
        <v>960396</v>
      </c>
      <c r="D38" s="40">
        <f t="shared" ref="D38:S38" si="1">+D27+F4+F5</f>
        <v>972304</v>
      </c>
      <c r="E38" s="40">
        <f t="shared" si="1"/>
        <v>987892</v>
      </c>
      <c r="F38" s="40">
        <f t="shared" si="1"/>
        <v>1035142</v>
      </c>
      <c r="G38" s="40">
        <f t="shared" si="1"/>
        <v>1088449</v>
      </c>
      <c r="H38" s="40">
        <f t="shared" si="1"/>
        <v>1112863</v>
      </c>
      <c r="I38" s="40">
        <f t="shared" si="1"/>
        <v>1124673</v>
      </c>
      <c r="J38" s="40">
        <f t="shared" si="1"/>
        <v>1114553</v>
      </c>
      <c r="K38" s="40">
        <f t="shared" si="1"/>
        <v>1111048</v>
      </c>
      <c r="L38" s="40">
        <f t="shared" si="1"/>
        <v>1089164</v>
      </c>
      <c r="M38" s="40">
        <f t="shared" si="1"/>
        <v>1095904</v>
      </c>
      <c r="N38" s="40">
        <f t="shared" si="1"/>
        <v>1097180</v>
      </c>
      <c r="O38" s="40">
        <f t="shared" si="1"/>
        <v>1060320</v>
      </c>
      <c r="P38" s="40">
        <f t="shared" si="1"/>
        <v>1053546</v>
      </c>
      <c r="Q38" s="40">
        <f t="shared" si="1"/>
        <v>1046686</v>
      </c>
      <c r="R38" s="40">
        <f t="shared" si="1"/>
        <v>1047216</v>
      </c>
      <c r="S38" s="40">
        <f t="shared" si="1"/>
        <v>1054691</v>
      </c>
      <c r="T38" s="51">
        <f>+S38</f>
        <v>1054691</v>
      </c>
    </row>
    <row r="39" spans="1:20" x14ac:dyDescent="0.25">
      <c r="A39" s="158"/>
      <c r="B39" s="158"/>
      <c r="C39" s="158"/>
      <c r="D39" s="158"/>
      <c r="E39" s="158"/>
      <c r="F39" s="158"/>
      <c r="G39" s="158"/>
      <c r="H39" s="158"/>
      <c r="I39" s="158"/>
      <c r="J39" s="158"/>
      <c r="K39" s="158"/>
      <c r="L39" s="158"/>
      <c r="M39" s="158"/>
      <c r="N39" s="158"/>
      <c r="O39" s="158"/>
      <c r="P39" s="158"/>
      <c r="Q39" s="158"/>
      <c r="R39" s="158"/>
      <c r="S39" s="158"/>
      <c r="T39" s="158" t="s">
        <v>164</v>
      </c>
    </row>
  </sheetData>
  <mergeCells count="1">
    <mergeCell ref="A1:T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W21"/>
  <sheetViews>
    <sheetView workbookViewId="0">
      <selection activeCell="T40" sqref="T40"/>
    </sheetView>
  </sheetViews>
  <sheetFormatPr defaultRowHeight="15" x14ac:dyDescent="0.25"/>
  <cols>
    <col min="1" max="1" width="55.140625" customWidth="1"/>
    <col min="2" max="2" width="26.7109375" customWidth="1"/>
    <col min="3" max="7" width="11.85546875" customWidth="1"/>
  </cols>
  <sheetData>
    <row r="2" spans="1:23" x14ac:dyDescent="0.25">
      <c r="A2" s="158" t="s">
        <v>165</v>
      </c>
      <c r="B2" s="158"/>
      <c r="C2" s="158" t="s">
        <v>166</v>
      </c>
      <c r="D2" s="158" t="s">
        <v>166</v>
      </c>
      <c r="E2" s="158" t="s">
        <v>166</v>
      </c>
      <c r="F2" s="158" t="s">
        <v>166</v>
      </c>
      <c r="G2" s="158" t="s">
        <v>167</v>
      </c>
      <c r="H2" s="158" t="s">
        <v>167</v>
      </c>
      <c r="I2" s="158" t="s">
        <v>167</v>
      </c>
      <c r="J2" s="158" t="s">
        <v>167</v>
      </c>
      <c r="K2" s="158" t="s">
        <v>168</v>
      </c>
      <c r="L2" s="158" t="s">
        <v>168</v>
      </c>
      <c r="M2" s="158" t="s">
        <v>168</v>
      </c>
      <c r="N2" s="158" t="s">
        <v>168</v>
      </c>
      <c r="O2" s="158" t="s">
        <v>169</v>
      </c>
      <c r="P2" s="158" t="s">
        <v>169</v>
      </c>
      <c r="Q2" s="158" t="s">
        <v>169</v>
      </c>
      <c r="R2" s="158" t="s">
        <v>169</v>
      </c>
      <c r="S2" s="158" t="s">
        <v>98</v>
      </c>
      <c r="T2" s="158" t="s">
        <v>98</v>
      </c>
      <c r="U2" s="158" t="s">
        <v>98</v>
      </c>
      <c r="V2" s="158" t="s">
        <v>98</v>
      </c>
      <c r="W2" s="158" t="s">
        <v>99</v>
      </c>
    </row>
    <row r="3" spans="1:23" x14ac:dyDescent="0.25">
      <c r="A3" s="158" t="s">
        <v>170</v>
      </c>
      <c r="B3" s="158"/>
      <c r="C3" s="158" t="s">
        <v>171</v>
      </c>
      <c r="D3" s="158" t="s">
        <v>172</v>
      </c>
      <c r="E3" s="158" t="s">
        <v>173</v>
      </c>
      <c r="F3" s="158" t="s">
        <v>174</v>
      </c>
      <c r="G3" s="158" t="s">
        <v>171</v>
      </c>
      <c r="H3" s="158" t="s">
        <v>172</v>
      </c>
      <c r="I3" s="158" t="s">
        <v>173</v>
      </c>
      <c r="J3" s="158" t="s">
        <v>174</v>
      </c>
      <c r="K3" s="158" t="s">
        <v>171</v>
      </c>
      <c r="L3" s="158" t="s">
        <v>172</v>
      </c>
      <c r="M3" s="158" t="s">
        <v>173</v>
      </c>
      <c r="N3" s="158" t="s">
        <v>174</v>
      </c>
      <c r="O3" s="158" t="s">
        <v>171</v>
      </c>
      <c r="P3" s="158" t="s">
        <v>172</v>
      </c>
      <c r="Q3" s="158" t="s">
        <v>173</v>
      </c>
      <c r="R3" s="158" t="s">
        <v>174</v>
      </c>
      <c r="S3" s="158" t="s">
        <v>171</v>
      </c>
      <c r="T3" s="158" t="s">
        <v>172</v>
      </c>
      <c r="U3" s="158" t="s">
        <v>173</v>
      </c>
      <c r="V3" s="158" t="s">
        <v>174</v>
      </c>
      <c r="W3" s="158" t="s">
        <v>171</v>
      </c>
    </row>
    <row r="4" spans="1:23" x14ac:dyDescent="0.25">
      <c r="A4" s="76" t="s">
        <v>80</v>
      </c>
      <c r="B4" s="158"/>
      <c r="C4" s="158">
        <v>137028</v>
      </c>
      <c r="D4" s="158">
        <v>134512</v>
      </c>
      <c r="E4" s="158">
        <v>136020</v>
      </c>
      <c r="F4" s="158">
        <v>137370</v>
      </c>
      <c r="G4" s="158">
        <v>128784</v>
      </c>
      <c r="H4" s="158">
        <v>128608</v>
      </c>
      <c r="I4" s="158">
        <v>126470</v>
      </c>
      <c r="J4" s="158">
        <v>130225</v>
      </c>
      <c r="K4" s="158">
        <v>121953</v>
      </c>
      <c r="L4" s="158">
        <v>121131</v>
      </c>
      <c r="M4" s="158">
        <v>123133</v>
      </c>
      <c r="N4" s="158">
        <v>124631</v>
      </c>
      <c r="O4" s="158">
        <v>116893</v>
      </c>
      <c r="P4" s="158">
        <v>118072</v>
      </c>
      <c r="Q4" s="158">
        <v>120901</v>
      </c>
      <c r="R4" s="158">
        <v>122927</v>
      </c>
      <c r="S4" s="158">
        <v>117134</v>
      </c>
      <c r="T4" s="158">
        <v>117954</v>
      </c>
      <c r="U4" s="158">
        <v>122284</v>
      </c>
      <c r="V4" s="158">
        <v>124311</v>
      </c>
      <c r="W4" s="158">
        <v>119405</v>
      </c>
    </row>
    <row r="5" spans="1:23" x14ac:dyDescent="0.25">
      <c r="A5" s="76" t="s">
        <v>175</v>
      </c>
      <c r="B5" s="158"/>
      <c r="C5" s="158">
        <v>5072</v>
      </c>
      <c r="D5" s="158">
        <v>5406</v>
      </c>
      <c r="E5" s="158">
        <v>5473</v>
      </c>
      <c r="F5" s="158">
        <v>23192</v>
      </c>
      <c r="G5" s="158">
        <v>4499</v>
      </c>
      <c r="H5" s="158">
        <v>5235</v>
      </c>
      <c r="I5" s="158">
        <v>4860</v>
      </c>
      <c r="J5" s="158">
        <v>20049</v>
      </c>
      <c r="K5" s="158">
        <v>3614</v>
      </c>
      <c r="L5" s="158">
        <v>4024</v>
      </c>
      <c r="M5" s="158">
        <v>3412</v>
      </c>
      <c r="N5" s="158">
        <v>17224</v>
      </c>
      <c r="O5" s="158">
        <v>2454</v>
      </c>
      <c r="P5" s="158">
        <v>2968</v>
      </c>
      <c r="Q5" s="158">
        <v>3277</v>
      </c>
      <c r="R5" s="158">
        <v>15373</v>
      </c>
      <c r="S5" s="158">
        <v>2263</v>
      </c>
      <c r="T5" s="158">
        <v>2575</v>
      </c>
      <c r="U5" s="158">
        <v>2823</v>
      </c>
      <c r="V5" s="158">
        <v>12965</v>
      </c>
      <c r="W5" s="158">
        <v>2119</v>
      </c>
    </row>
    <row r="6" spans="1:23" x14ac:dyDescent="0.25">
      <c r="A6" s="76" t="s">
        <v>81</v>
      </c>
      <c r="B6" s="158"/>
      <c r="C6" s="158">
        <v>88509</v>
      </c>
      <c r="D6" s="158">
        <v>87662</v>
      </c>
      <c r="E6" s="158">
        <v>86967</v>
      </c>
      <c r="F6" s="158">
        <v>85939</v>
      </c>
      <c r="G6" s="158">
        <v>84462</v>
      </c>
      <c r="H6" s="158">
        <v>82897</v>
      </c>
      <c r="I6" s="158">
        <v>79699</v>
      </c>
      <c r="J6" s="158">
        <v>77843</v>
      </c>
      <c r="K6" s="158">
        <v>75844</v>
      </c>
      <c r="L6" s="158">
        <v>74027</v>
      </c>
      <c r="M6" s="158">
        <v>72589</v>
      </c>
      <c r="N6" s="158">
        <v>72534</v>
      </c>
      <c r="O6" s="158">
        <v>70373</v>
      </c>
      <c r="P6" s="158">
        <v>69240</v>
      </c>
      <c r="Q6" s="158">
        <v>67887</v>
      </c>
      <c r="R6" s="158">
        <v>68380</v>
      </c>
      <c r="S6" s="158">
        <v>66387</v>
      </c>
      <c r="T6" s="158">
        <v>65422</v>
      </c>
      <c r="U6" s="158">
        <v>64372</v>
      </c>
      <c r="V6" s="158">
        <v>64970</v>
      </c>
      <c r="W6" s="158">
        <v>62212</v>
      </c>
    </row>
    <row r="7" spans="1:23" x14ac:dyDescent="0.25">
      <c r="A7" s="76" t="s">
        <v>82</v>
      </c>
      <c r="B7" s="158"/>
      <c r="C7" s="158">
        <v>91207</v>
      </c>
      <c r="D7" s="158">
        <v>91309</v>
      </c>
      <c r="E7" s="158">
        <v>91376</v>
      </c>
      <c r="F7" s="158">
        <v>91514</v>
      </c>
      <c r="G7" s="158">
        <v>91367</v>
      </c>
      <c r="H7" s="158">
        <v>91862</v>
      </c>
      <c r="I7" s="158">
        <v>92072</v>
      </c>
      <c r="J7" s="158">
        <v>92661</v>
      </c>
      <c r="K7" s="158">
        <v>92960</v>
      </c>
      <c r="L7" s="158">
        <v>93257</v>
      </c>
      <c r="M7" s="158">
        <v>93852</v>
      </c>
      <c r="N7" s="158">
        <v>93867</v>
      </c>
      <c r="O7" s="158">
        <v>93580</v>
      </c>
      <c r="P7" s="158">
        <v>93959</v>
      </c>
      <c r="Q7" s="158">
        <v>93850</v>
      </c>
      <c r="R7" s="158">
        <v>93848</v>
      </c>
      <c r="S7" s="158">
        <v>93250</v>
      </c>
      <c r="T7" s="158">
        <v>93243</v>
      </c>
      <c r="U7" s="158">
        <v>93257</v>
      </c>
      <c r="V7" s="158">
        <v>93418</v>
      </c>
      <c r="W7" s="158">
        <v>93107</v>
      </c>
    </row>
    <row r="8" spans="1:23" x14ac:dyDescent="0.25">
      <c r="A8" s="76" t="s">
        <v>176</v>
      </c>
      <c r="B8" s="158"/>
      <c r="C8" s="158">
        <v>1135</v>
      </c>
      <c r="D8" s="158">
        <v>1152</v>
      </c>
      <c r="E8" s="158">
        <v>1106</v>
      </c>
      <c r="F8" s="158">
        <v>1080</v>
      </c>
      <c r="G8" s="158">
        <v>1034</v>
      </c>
      <c r="H8" s="158">
        <v>1180</v>
      </c>
      <c r="I8" s="158">
        <v>1293</v>
      </c>
      <c r="J8" s="158">
        <v>1091</v>
      </c>
      <c r="K8" s="158">
        <v>949</v>
      </c>
      <c r="L8" s="158">
        <v>1147</v>
      </c>
      <c r="M8" s="158">
        <v>1335</v>
      </c>
      <c r="N8" s="158">
        <v>889</v>
      </c>
      <c r="O8" s="158">
        <v>960</v>
      </c>
      <c r="P8" s="158">
        <v>1110</v>
      </c>
      <c r="Q8" s="158">
        <v>1252</v>
      </c>
      <c r="R8" s="158">
        <v>821</v>
      </c>
      <c r="S8" s="158">
        <v>857</v>
      </c>
      <c r="T8" s="158">
        <v>983</v>
      </c>
      <c r="U8" s="158">
        <v>1139</v>
      </c>
      <c r="V8" s="158">
        <v>1346</v>
      </c>
      <c r="W8" s="158">
        <v>1393</v>
      </c>
    </row>
    <row r="10" spans="1:23" x14ac:dyDescent="0.25">
      <c r="A10" s="76" t="s">
        <v>177</v>
      </c>
      <c r="B10" s="158">
        <v>2013</v>
      </c>
      <c r="C10" s="158">
        <f>+B10+1</f>
        <v>2014</v>
      </c>
      <c r="D10" s="158">
        <f>+C10+1</f>
        <v>2015</v>
      </c>
      <c r="E10" s="158">
        <v>2016</v>
      </c>
      <c r="F10" s="158" t="s">
        <v>92</v>
      </c>
      <c r="G10" s="158"/>
      <c r="H10" s="158"/>
      <c r="I10" s="158"/>
      <c r="J10" s="158"/>
      <c r="K10" s="158"/>
      <c r="L10" s="158"/>
      <c r="M10" s="158"/>
      <c r="N10" s="158"/>
      <c r="O10" s="158"/>
      <c r="P10" s="158"/>
      <c r="Q10" s="158"/>
      <c r="R10" s="158"/>
      <c r="S10" s="158"/>
      <c r="T10" s="158"/>
      <c r="U10" s="158"/>
      <c r="V10" s="158"/>
      <c r="W10" s="158"/>
    </row>
    <row r="11" spans="1:23" x14ac:dyDescent="0.25">
      <c r="A11" s="76" t="s">
        <v>80</v>
      </c>
      <c r="B11" s="158">
        <f>AVERAGE(E4:H4)</f>
        <v>132695.5</v>
      </c>
      <c r="C11" s="158">
        <f>AVERAGE(I4:L4)</f>
        <v>124944.75</v>
      </c>
      <c r="D11" s="158">
        <f>AVERAGE(M4:P4)</f>
        <v>120682.25</v>
      </c>
      <c r="E11" s="158">
        <f>AVERAGE(Q4:T4)</f>
        <v>119729</v>
      </c>
      <c r="F11" s="158">
        <f>AVERAGE(T4:W4)</f>
        <v>120988.5</v>
      </c>
      <c r="G11" s="158"/>
      <c r="H11" s="158"/>
      <c r="I11" s="158"/>
      <c r="J11" s="158"/>
      <c r="K11" s="158"/>
      <c r="L11" s="158"/>
      <c r="M11" s="158"/>
      <c r="N11" s="158"/>
      <c r="O11" s="158"/>
      <c r="P11" s="158"/>
      <c r="Q11" s="158"/>
      <c r="R11" s="158"/>
      <c r="S11" s="158"/>
      <c r="T11" s="158"/>
      <c r="U11" s="158"/>
      <c r="V11" s="158"/>
      <c r="W11" s="158"/>
    </row>
    <row r="12" spans="1:23" x14ac:dyDescent="0.25">
      <c r="A12" s="76" t="s">
        <v>175</v>
      </c>
      <c r="B12" s="158">
        <f t="shared" ref="B12:B15" si="0">AVERAGE(E5:H5)</f>
        <v>9599.75</v>
      </c>
      <c r="C12" s="158">
        <f t="shared" ref="C12:C15" si="1">AVERAGE(I5:L5)</f>
        <v>8136.75</v>
      </c>
      <c r="D12" s="158">
        <f t="shared" ref="D12:D15" si="2">AVERAGE(M5:P5)</f>
        <v>6514.5</v>
      </c>
      <c r="E12" s="158">
        <f t="shared" ref="E12:E15" si="3">AVERAGE(Q5:T5)</f>
        <v>5872</v>
      </c>
      <c r="F12" s="158">
        <f t="shared" ref="F12:F15" si="4">AVERAGE(T5:W5)</f>
        <v>5120.5</v>
      </c>
      <c r="G12" s="158"/>
      <c r="H12" s="158"/>
      <c r="I12" s="158"/>
      <c r="J12" s="158"/>
      <c r="K12" s="158"/>
      <c r="L12" s="158"/>
      <c r="M12" s="158"/>
      <c r="N12" s="158"/>
      <c r="O12" s="158"/>
      <c r="P12" s="158"/>
      <c r="Q12" s="158"/>
      <c r="R12" s="158"/>
      <c r="S12" s="158"/>
      <c r="T12" s="158"/>
      <c r="U12" s="158"/>
      <c r="V12" s="158"/>
      <c r="W12" s="158"/>
    </row>
    <row r="13" spans="1:23" x14ac:dyDescent="0.25">
      <c r="A13" s="76" t="s">
        <v>81</v>
      </c>
      <c r="B13" s="158">
        <f t="shared" si="0"/>
        <v>85066.25</v>
      </c>
      <c r="C13" s="158">
        <f t="shared" si="1"/>
        <v>76853.25</v>
      </c>
      <c r="D13" s="158">
        <f t="shared" si="2"/>
        <v>71184</v>
      </c>
      <c r="E13" s="158">
        <f t="shared" si="3"/>
        <v>67019</v>
      </c>
      <c r="F13" s="158">
        <f t="shared" si="4"/>
        <v>64244</v>
      </c>
      <c r="G13" s="158"/>
      <c r="H13" s="158"/>
      <c r="I13" s="158"/>
      <c r="J13" s="158"/>
      <c r="K13" s="158"/>
      <c r="L13" s="158"/>
      <c r="M13" s="158"/>
      <c r="N13" s="158"/>
      <c r="O13" s="158"/>
      <c r="P13" s="158"/>
      <c r="Q13" s="158"/>
      <c r="R13" s="158"/>
      <c r="S13" s="158"/>
      <c r="T13" s="158"/>
      <c r="U13" s="158"/>
      <c r="V13" s="158"/>
      <c r="W13" s="158"/>
    </row>
    <row r="14" spans="1:23" x14ac:dyDescent="0.25">
      <c r="A14" s="76" t="s">
        <v>82</v>
      </c>
      <c r="B14" s="158">
        <f t="shared" si="0"/>
        <v>91529.75</v>
      </c>
      <c r="C14" s="158">
        <f t="shared" si="1"/>
        <v>92737.5</v>
      </c>
      <c r="D14" s="158">
        <f t="shared" si="2"/>
        <v>93814.5</v>
      </c>
      <c r="E14" s="158">
        <f t="shared" si="3"/>
        <v>93547.75</v>
      </c>
      <c r="F14" s="158">
        <f t="shared" si="4"/>
        <v>93256.25</v>
      </c>
      <c r="G14" s="158"/>
      <c r="H14" s="158"/>
      <c r="I14" s="158"/>
      <c r="J14" s="158"/>
      <c r="K14" s="158"/>
      <c r="L14" s="158"/>
      <c r="M14" s="158"/>
      <c r="N14" s="158"/>
      <c r="O14" s="158"/>
      <c r="P14" s="158"/>
      <c r="Q14" s="158"/>
      <c r="R14" s="158"/>
      <c r="S14" s="158"/>
      <c r="T14" s="158"/>
      <c r="U14" s="158"/>
      <c r="V14" s="158"/>
      <c r="W14" s="158"/>
    </row>
    <row r="15" spans="1:23" x14ac:dyDescent="0.25">
      <c r="A15" s="76" t="s">
        <v>176</v>
      </c>
      <c r="B15" s="158">
        <f t="shared" si="0"/>
        <v>1100</v>
      </c>
      <c r="C15" s="158">
        <f t="shared" si="1"/>
        <v>1120</v>
      </c>
      <c r="D15" s="158">
        <f t="shared" si="2"/>
        <v>1073.5</v>
      </c>
      <c r="E15" s="158">
        <f t="shared" si="3"/>
        <v>978.25</v>
      </c>
      <c r="F15" s="158">
        <f t="shared" si="4"/>
        <v>1215.25</v>
      </c>
      <c r="G15" s="158"/>
      <c r="H15" s="158"/>
      <c r="I15" s="158"/>
      <c r="J15" s="158"/>
      <c r="K15" s="158"/>
      <c r="L15" s="158"/>
      <c r="M15" s="158"/>
      <c r="N15" s="158"/>
      <c r="O15" s="158"/>
      <c r="P15" s="158"/>
      <c r="Q15" s="158"/>
      <c r="R15" s="158"/>
      <c r="S15" s="158"/>
      <c r="T15" s="158"/>
      <c r="U15" s="158"/>
      <c r="V15" s="158"/>
      <c r="W15" s="158"/>
    </row>
    <row r="20" spans="1:10" x14ac:dyDescent="0.25">
      <c r="A20" s="158" t="s">
        <v>95</v>
      </c>
      <c r="B20" s="158"/>
      <c r="C20" s="158"/>
      <c r="D20" s="158"/>
      <c r="E20" s="158"/>
      <c r="F20" s="158"/>
      <c r="G20" s="158"/>
      <c r="H20" s="158"/>
      <c r="I20" s="158"/>
      <c r="J20" s="72"/>
    </row>
    <row r="21" spans="1:10" x14ac:dyDescent="0.25">
      <c r="A21" s="158" t="s">
        <v>178</v>
      </c>
      <c r="B21" s="158"/>
      <c r="C21" s="158"/>
      <c r="D21" s="158"/>
      <c r="E21" s="158"/>
      <c r="F21" s="158"/>
      <c r="G21" s="158"/>
      <c r="H21" s="158"/>
      <c r="I21" s="158"/>
      <c r="J21" s="13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T34"/>
  <sheetViews>
    <sheetView workbookViewId="0">
      <selection activeCell="T40" sqref="T40"/>
    </sheetView>
  </sheetViews>
  <sheetFormatPr defaultRowHeight="15" x14ac:dyDescent="0.25"/>
  <cols>
    <col min="1" max="1" width="38.42578125" customWidth="1"/>
  </cols>
  <sheetData>
    <row r="2" spans="1:20" s="62" customFormat="1" x14ac:dyDescent="0.25">
      <c r="A2" s="62" t="s">
        <v>179</v>
      </c>
    </row>
    <row r="3" spans="1:20" s="62" customFormat="1" x14ac:dyDescent="0.25">
      <c r="B3" s="124"/>
    </row>
    <row r="4" spans="1:20" s="62" customFormat="1" x14ac:dyDescent="0.25">
      <c r="A4" s="124" t="s">
        <v>180</v>
      </c>
      <c r="B4" s="124"/>
    </row>
    <row r="5" spans="1:20" s="62" customFormat="1" x14ac:dyDescent="0.25">
      <c r="A5" s="57"/>
      <c r="B5" s="58">
        <v>1998</v>
      </c>
      <c r="C5" s="59">
        <v>1999</v>
      </c>
      <c r="D5" s="60">
        <v>2000</v>
      </c>
      <c r="E5" s="59">
        <v>2001</v>
      </c>
      <c r="F5" s="60">
        <v>2002</v>
      </c>
      <c r="G5" s="59">
        <v>2003</v>
      </c>
      <c r="H5" s="60">
        <v>2004</v>
      </c>
      <c r="I5" s="59">
        <v>2005</v>
      </c>
      <c r="J5" s="60">
        <v>2006</v>
      </c>
      <c r="K5" s="59">
        <v>2007</v>
      </c>
      <c r="L5" s="60">
        <v>2008</v>
      </c>
      <c r="M5" s="59">
        <v>2009</v>
      </c>
      <c r="N5" s="60">
        <v>2010</v>
      </c>
      <c r="O5" s="59">
        <v>2011</v>
      </c>
      <c r="P5" s="60">
        <v>2012</v>
      </c>
      <c r="Q5" s="59">
        <v>2013</v>
      </c>
      <c r="R5" s="60">
        <v>2014</v>
      </c>
      <c r="S5" s="59">
        <v>2015</v>
      </c>
      <c r="T5" s="61">
        <v>2016</v>
      </c>
    </row>
    <row r="6" spans="1:20" x14ac:dyDescent="0.25">
      <c r="A6" s="63"/>
      <c r="B6" s="64"/>
      <c r="C6" s="65"/>
      <c r="D6" s="66"/>
      <c r="E6" s="65"/>
      <c r="F6" s="66"/>
      <c r="G6" s="65"/>
      <c r="H6" s="66"/>
      <c r="I6" s="67"/>
      <c r="J6" s="68"/>
      <c r="K6" s="67"/>
      <c r="L6" s="68"/>
      <c r="M6" s="67"/>
      <c r="N6" s="68"/>
      <c r="O6" s="69"/>
      <c r="P6" s="70"/>
      <c r="Q6" s="69"/>
      <c r="R6" s="70"/>
      <c r="S6" s="69"/>
      <c r="T6" s="71"/>
    </row>
    <row r="7" spans="1:20" x14ac:dyDescent="0.25">
      <c r="A7" s="125" t="s">
        <v>181</v>
      </c>
      <c r="B7" s="126">
        <v>793</v>
      </c>
      <c r="C7" s="2">
        <v>843</v>
      </c>
      <c r="D7" s="1">
        <v>867</v>
      </c>
      <c r="E7" s="2">
        <v>795</v>
      </c>
      <c r="F7" s="1">
        <v>720</v>
      </c>
      <c r="G7" s="2">
        <v>706</v>
      </c>
      <c r="H7" s="1">
        <v>702</v>
      </c>
      <c r="I7" s="2">
        <v>750</v>
      </c>
      <c r="J7" s="127">
        <v>843</v>
      </c>
      <c r="K7" s="128">
        <v>877</v>
      </c>
      <c r="L7" s="127">
        <v>891</v>
      </c>
      <c r="M7" s="128">
        <v>989</v>
      </c>
      <c r="N7" s="127">
        <v>1154</v>
      </c>
      <c r="O7" s="128">
        <v>1197</v>
      </c>
      <c r="P7" s="127">
        <v>1195</v>
      </c>
      <c r="Q7" s="128">
        <v>1177</v>
      </c>
      <c r="R7" s="127">
        <v>1146</v>
      </c>
      <c r="S7" s="128">
        <v>1129</v>
      </c>
      <c r="T7" s="129">
        <v>1164</v>
      </c>
    </row>
    <row r="8" spans="1:20" x14ac:dyDescent="0.25">
      <c r="A8" s="72" t="s">
        <v>182</v>
      </c>
      <c r="B8" s="130">
        <v>63</v>
      </c>
      <c r="C8" s="10">
        <v>146</v>
      </c>
      <c r="D8" s="9">
        <v>147</v>
      </c>
      <c r="E8" s="10">
        <v>171</v>
      </c>
      <c r="F8" s="9">
        <v>159</v>
      </c>
      <c r="G8" s="10">
        <v>121</v>
      </c>
      <c r="H8" s="9">
        <v>103</v>
      </c>
      <c r="I8" s="10">
        <v>91</v>
      </c>
      <c r="J8" s="9">
        <v>80</v>
      </c>
      <c r="K8" s="10">
        <v>71</v>
      </c>
      <c r="L8" s="9">
        <v>58</v>
      </c>
      <c r="M8" s="10">
        <v>50</v>
      </c>
      <c r="N8" s="9">
        <v>45</v>
      </c>
      <c r="O8" s="10">
        <v>40</v>
      </c>
      <c r="P8" s="9">
        <v>37</v>
      </c>
      <c r="Q8" s="10">
        <v>22</v>
      </c>
      <c r="R8" s="9">
        <v>19</v>
      </c>
      <c r="S8" s="10">
        <v>15</v>
      </c>
      <c r="T8" s="13">
        <v>40</v>
      </c>
    </row>
    <row r="9" spans="1:20" x14ac:dyDescent="0.25">
      <c r="A9" s="72" t="s">
        <v>183</v>
      </c>
      <c r="B9" s="130">
        <v>198</v>
      </c>
      <c r="C9" s="10">
        <v>204</v>
      </c>
      <c r="D9" s="9">
        <v>204</v>
      </c>
      <c r="E9" s="10">
        <v>210</v>
      </c>
      <c r="F9" s="9">
        <v>224</v>
      </c>
      <c r="G9" s="10">
        <v>241</v>
      </c>
      <c r="H9" s="9">
        <v>257</v>
      </c>
      <c r="I9" s="10">
        <v>267</v>
      </c>
      <c r="J9" s="9">
        <v>261</v>
      </c>
      <c r="K9" s="10">
        <v>270</v>
      </c>
      <c r="L9" s="9">
        <v>278</v>
      </c>
      <c r="M9" s="10">
        <v>390</v>
      </c>
      <c r="N9" s="9">
        <v>411</v>
      </c>
      <c r="O9" s="10">
        <v>409</v>
      </c>
      <c r="P9" s="9">
        <v>401</v>
      </c>
      <c r="Q9" s="10">
        <v>384</v>
      </c>
      <c r="R9" s="9">
        <v>379</v>
      </c>
      <c r="S9" s="10">
        <v>377</v>
      </c>
      <c r="T9" s="13">
        <v>377</v>
      </c>
    </row>
    <row r="10" spans="1:20" x14ac:dyDescent="0.25">
      <c r="A10" s="72" t="s">
        <v>184</v>
      </c>
      <c r="B10" s="130">
        <v>874</v>
      </c>
      <c r="C10" s="10">
        <v>912</v>
      </c>
      <c r="D10" s="9">
        <v>899</v>
      </c>
      <c r="E10" s="10">
        <v>878</v>
      </c>
      <c r="F10" s="9">
        <v>848</v>
      </c>
      <c r="G10" s="10">
        <v>862</v>
      </c>
      <c r="H10" s="9">
        <v>833</v>
      </c>
      <c r="I10" s="10">
        <v>846</v>
      </c>
      <c r="J10" s="11">
        <v>1285</v>
      </c>
      <c r="K10" s="12">
        <v>1699</v>
      </c>
      <c r="L10" s="11">
        <v>1897</v>
      </c>
      <c r="M10" s="12">
        <v>2062</v>
      </c>
      <c r="N10" s="11">
        <v>2159</v>
      </c>
      <c r="O10" s="12">
        <v>2130</v>
      </c>
      <c r="P10" s="11">
        <v>2071</v>
      </c>
      <c r="Q10" s="12">
        <v>2018</v>
      </c>
      <c r="R10" s="11">
        <v>1965</v>
      </c>
      <c r="S10" s="12">
        <v>1854</v>
      </c>
      <c r="T10" s="74">
        <v>1793</v>
      </c>
    </row>
    <row r="11" spans="1:20" x14ac:dyDescent="0.25">
      <c r="A11" s="72" t="s">
        <v>185</v>
      </c>
      <c r="B11" s="130" t="s">
        <v>138</v>
      </c>
      <c r="C11" s="10" t="s">
        <v>138</v>
      </c>
      <c r="D11" s="9" t="s">
        <v>138</v>
      </c>
      <c r="E11" s="10">
        <v>161</v>
      </c>
      <c r="F11" s="9">
        <v>274</v>
      </c>
      <c r="G11" s="10">
        <v>296</v>
      </c>
      <c r="H11" s="9">
        <v>340</v>
      </c>
      <c r="I11" s="10">
        <v>370</v>
      </c>
      <c r="J11" s="9">
        <v>395</v>
      </c>
      <c r="K11" s="10">
        <v>434</v>
      </c>
      <c r="L11" s="9">
        <v>465</v>
      </c>
      <c r="M11" s="10">
        <v>512</v>
      </c>
      <c r="N11" s="9">
        <v>522</v>
      </c>
      <c r="O11" s="10">
        <v>553</v>
      </c>
      <c r="P11" s="9">
        <v>580</v>
      </c>
      <c r="Q11" s="10">
        <v>611</v>
      </c>
      <c r="R11" s="9">
        <v>660</v>
      </c>
      <c r="S11" s="10">
        <v>703</v>
      </c>
      <c r="T11" s="13">
        <v>755</v>
      </c>
    </row>
    <row r="12" spans="1:20" x14ac:dyDescent="0.25">
      <c r="A12" s="72" t="s">
        <v>132</v>
      </c>
      <c r="B12" s="73">
        <v>5106</v>
      </c>
      <c r="C12" s="12">
        <v>5071</v>
      </c>
      <c r="D12" s="11">
        <v>5068</v>
      </c>
      <c r="E12" s="12">
        <v>5273</v>
      </c>
      <c r="F12" s="11">
        <v>5450</v>
      </c>
      <c r="G12" s="12">
        <v>5642</v>
      </c>
      <c r="H12" s="11">
        <v>5889</v>
      </c>
      <c r="I12" s="12">
        <v>6083</v>
      </c>
      <c r="J12" s="11">
        <v>6414</v>
      </c>
      <c r="K12" s="12">
        <v>6810</v>
      </c>
      <c r="L12" s="11">
        <v>7348</v>
      </c>
      <c r="M12" s="12">
        <v>7744</v>
      </c>
      <c r="N12" s="11">
        <v>8290</v>
      </c>
      <c r="O12" s="12">
        <v>8830</v>
      </c>
      <c r="P12" s="11">
        <v>9584</v>
      </c>
      <c r="Q12" s="12">
        <v>10235</v>
      </c>
      <c r="R12" s="11">
        <v>10913</v>
      </c>
      <c r="S12" s="12">
        <v>11591</v>
      </c>
      <c r="T12" s="74">
        <v>12267</v>
      </c>
    </row>
    <row r="13" spans="1:20" x14ac:dyDescent="0.25">
      <c r="A13" s="72" t="s">
        <v>186</v>
      </c>
      <c r="B13" s="130" t="s">
        <v>138</v>
      </c>
      <c r="C13" s="10" t="s">
        <v>138</v>
      </c>
      <c r="D13" s="9" t="s">
        <v>138</v>
      </c>
      <c r="E13" s="10" t="s">
        <v>138</v>
      </c>
      <c r="F13" s="9" t="s">
        <v>138</v>
      </c>
      <c r="G13" s="10">
        <v>56</v>
      </c>
      <c r="H13" s="9">
        <v>63</v>
      </c>
      <c r="I13" s="10">
        <v>76</v>
      </c>
      <c r="J13" s="9">
        <v>96</v>
      </c>
      <c r="K13" s="10">
        <v>122</v>
      </c>
      <c r="L13" s="9">
        <v>135</v>
      </c>
      <c r="M13" s="10">
        <v>143</v>
      </c>
      <c r="N13" s="9">
        <v>154</v>
      </c>
      <c r="O13" s="10">
        <v>154</v>
      </c>
      <c r="P13" s="9">
        <v>158</v>
      </c>
      <c r="Q13" s="10">
        <v>165</v>
      </c>
      <c r="R13" s="9">
        <v>165</v>
      </c>
      <c r="S13" s="10">
        <v>180</v>
      </c>
      <c r="T13" s="13">
        <v>217</v>
      </c>
    </row>
    <row r="14" spans="1:20" x14ac:dyDescent="0.25">
      <c r="A14" s="72" t="s">
        <v>187</v>
      </c>
      <c r="B14" s="130"/>
      <c r="C14" s="10"/>
      <c r="D14" s="9"/>
      <c r="E14" s="10"/>
      <c r="F14" s="9"/>
      <c r="G14" s="10"/>
      <c r="H14" s="9"/>
      <c r="I14" s="10"/>
      <c r="J14" s="9"/>
      <c r="K14" s="10"/>
      <c r="L14" s="9"/>
      <c r="M14" s="10" t="s">
        <v>138</v>
      </c>
      <c r="N14" s="9" t="s">
        <v>138</v>
      </c>
      <c r="O14" s="10" t="s">
        <v>138</v>
      </c>
      <c r="P14" s="9" t="s">
        <v>138</v>
      </c>
      <c r="Q14" s="10" t="s">
        <v>138</v>
      </c>
      <c r="R14" s="11">
        <v>1691</v>
      </c>
      <c r="S14" s="12">
        <v>1684</v>
      </c>
      <c r="T14" s="74">
        <v>1671</v>
      </c>
    </row>
    <row r="15" spans="1:20" x14ac:dyDescent="0.25">
      <c r="A15" s="72" t="s">
        <v>188</v>
      </c>
      <c r="B15" s="130"/>
      <c r="C15" s="10"/>
      <c r="D15" s="9"/>
      <c r="E15" s="10"/>
      <c r="F15" s="9"/>
      <c r="G15" s="10"/>
      <c r="H15" s="9"/>
      <c r="I15" s="10"/>
      <c r="J15" s="9"/>
      <c r="K15" s="10"/>
      <c r="L15" s="9"/>
      <c r="M15" s="10">
        <v>619</v>
      </c>
      <c r="N15" s="9">
        <v>629</v>
      </c>
      <c r="O15" s="10">
        <v>616</v>
      </c>
      <c r="P15" s="9">
        <v>599</v>
      </c>
      <c r="Q15" s="10">
        <v>575</v>
      </c>
      <c r="R15" s="9">
        <v>567</v>
      </c>
      <c r="S15" s="10">
        <v>549</v>
      </c>
      <c r="T15" s="13">
        <v>559</v>
      </c>
    </row>
    <row r="16" spans="1:20" x14ac:dyDescent="0.25">
      <c r="A16" s="72" t="s">
        <v>81</v>
      </c>
      <c r="B16" s="130"/>
      <c r="C16" s="10"/>
      <c r="D16" s="9"/>
      <c r="E16" s="10"/>
      <c r="F16" s="9"/>
      <c r="G16" s="10"/>
      <c r="H16" s="9"/>
      <c r="I16" s="10"/>
      <c r="J16" s="9"/>
      <c r="K16" s="10"/>
      <c r="L16" s="9"/>
      <c r="M16" s="10" t="s">
        <v>138</v>
      </c>
      <c r="N16" s="9" t="s">
        <v>138</v>
      </c>
      <c r="O16" s="10" t="s">
        <v>138</v>
      </c>
      <c r="P16" s="9" t="s">
        <v>138</v>
      </c>
      <c r="Q16" s="10" t="s">
        <v>138</v>
      </c>
      <c r="R16" s="11">
        <v>1222</v>
      </c>
      <c r="S16" s="12">
        <v>1186</v>
      </c>
      <c r="T16" s="74">
        <v>1153</v>
      </c>
    </row>
    <row r="17" spans="1:20" x14ac:dyDescent="0.25">
      <c r="A17" s="72" t="s">
        <v>82</v>
      </c>
      <c r="B17" s="130"/>
      <c r="C17" s="10"/>
      <c r="D17" s="9"/>
      <c r="E17" s="10"/>
      <c r="F17" s="9"/>
      <c r="G17" s="10"/>
      <c r="H17" s="9"/>
      <c r="I17" s="10"/>
      <c r="J17" s="9"/>
      <c r="K17" s="10"/>
      <c r="L17" s="9"/>
      <c r="M17" s="10" t="s">
        <v>138</v>
      </c>
      <c r="N17" s="9" t="s">
        <v>138</v>
      </c>
      <c r="O17" s="10" t="s">
        <v>138</v>
      </c>
      <c r="P17" s="9" t="s">
        <v>138</v>
      </c>
      <c r="Q17" s="10" t="s">
        <v>189</v>
      </c>
      <c r="R17" s="11">
        <v>1422</v>
      </c>
      <c r="S17" s="12">
        <v>1515</v>
      </c>
      <c r="T17" s="74">
        <v>1523</v>
      </c>
    </row>
    <row r="18" spans="1:20" x14ac:dyDescent="0.25">
      <c r="A18" s="72" t="s">
        <v>190</v>
      </c>
      <c r="B18" s="130"/>
      <c r="C18" s="10"/>
      <c r="D18" s="9"/>
      <c r="E18" s="10"/>
      <c r="F18" s="9"/>
      <c r="G18" s="10"/>
      <c r="H18" s="9"/>
      <c r="I18" s="10">
        <v>79</v>
      </c>
      <c r="J18" s="9">
        <v>110</v>
      </c>
      <c r="K18" s="10">
        <v>139</v>
      </c>
      <c r="L18" s="9">
        <v>150</v>
      </c>
      <c r="M18" s="10">
        <v>159</v>
      </c>
      <c r="N18" s="9">
        <v>178</v>
      </c>
      <c r="O18" s="10">
        <v>188</v>
      </c>
      <c r="P18" s="9">
        <v>188</v>
      </c>
      <c r="Q18" s="10">
        <v>186</v>
      </c>
      <c r="R18" s="9">
        <v>186</v>
      </c>
      <c r="S18" s="10">
        <v>183</v>
      </c>
      <c r="T18" s="13">
        <v>182</v>
      </c>
    </row>
    <row r="19" spans="1:20" x14ac:dyDescent="0.25">
      <c r="A19" s="72" t="s">
        <v>191</v>
      </c>
      <c r="B19" s="130"/>
      <c r="C19" s="10"/>
      <c r="D19" s="9"/>
      <c r="E19" s="10"/>
      <c r="F19" s="9"/>
      <c r="G19" s="10"/>
      <c r="H19" s="9"/>
      <c r="I19" s="10">
        <v>119</v>
      </c>
      <c r="J19" s="9">
        <v>128</v>
      </c>
      <c r="K19" s="10">
        <v>143</v>
      </c>
      <c r="L19" s="9">
        <v>161</v>
      </c>
      <c r="M19" s="10">
        <v>176</v>
      </c>
      <c r="N19" s="9">
        <v>179</v>
      </c>
      <c r="O19" s="10">
        <v>178</v>
      </c>
      <c r="P19" s="9">
        <v>177</v>
      </c>
      <c r="Q19" s="10">
        <v>171</v>
      </c>
      <c r="R19" s="9">
        <v>165</v>
      </c>
      <c r="S19" s="10">
        <v>178</v>
      </c>
      <c r="T19" s="13">
        <v>186</v>
      </c>
    </row>
    <row r="20" spans="1:20" x14ac:dyDescent="0.25">
      <c r="A20" s="72" t="s">
        <v>192</v>
      </c>
      <c r="B20" s="130"/>
      <c r="C20" s="10"/>
      <c r="D20" s="9"/>
      <c r="E20" s="10"/>
      <c r="F20" s="9"/>
      <c r="G20" s="10"/>
      <c r="H20" s="9"/>
      <c r="I20" s="10">
        <v>107</v>
      </c>
      <c r="J20" s="9">
        <v>113</v>
      </c>
      <c r="K20" s="10">
        <v>122</v>
      </c>
      <c r="L20" s="9">
        <v>134</v>
      </c>
      <c r="M20" s="10">
        <v>125</v>
      </c>
      <c r="N20" s="9">
        <v>137</v>
      </c>
      <c r="O20" s="10">
        <v>135</v>
      </c>
      <c r="P20" s="9">
        <v>128</v>
      </c>
      <c r="Q20" s="10">
        <v>123</v>
      </c>
      <c r="R20" s="9">
        <v>119</v>
      </c>
      <c r="S20" s="10">
        <v>115</v>
      </c>
      <c r="T20" s="13">
        <v>107</v>
      </c>
    </row>
    <row r="21" spans="1:20" x14ac:dyDescent="0.25">
      <c r="A21" s="72" t="s">
        <v>193</v>
      </c>
      <c r="B21" s="73">
        <v>1501</v>
      </c>
      <c r="C21" s="12">
        <v>1451</v>
      </c>
      <c r="D21" s="11">
        <v>1433</v>
      </c>
      <c r="E21" s="12">
        <v>1444</v>
      </c>
      <c r="F21" s="11">
        <v>1501</v>
      </c>
      <c r="G21" s="12">
        <v>1520</v>
      </c>
      <c r="H21" s="11">
        <v>1569</v>
      </c>
      <c r="I21" s="12">
        <v>1547</v>
      </c>
      <c r="J21" s="11">
        <v>1493</v>
      </c>
      <c r="K21" s="12">
        <v>1468</v>
      </c>
      <c r="L21" s="11">
        <v>1478</v>
      </c>
      <c r="M21" s="12">
        <v>1530</v>
      </c>
      <c r="N21" s="11">
        <v>1693</v>
      </c>
      <c r="O21" s="12">
        <v>1757</v>
      </c>
      <c r="P21" s="11">
        <v>1811</v>
      </c>
      <c r="Q21" s="12">
        <v>1738</v>
      </c>
      <c r="R21" s="9">
        <v>63</v>
      </c>
      <c r="S21" s="10" t="s">
        <v>138</v>
      </c>
      <c r="T21" s="13" t="s">
        <v>138</v>
      </c>
    </row>
    <row r="22" spans="1:20" x14ac:dyDescent="0.25">
      <c r="A22" s="72" t="s">
        <v>194</v>
      </c>
      <c r="B22" s="130">
        <v>599</v>
      </c>
      <c r="C22" s="10">
        <v>630</v>
      </c>
      <c r="D22" s="9">
        <v>677</v>
      </c>
      <c r="E22" s="10">
        <v>745</v>
      </c>
      <c r="F22" s="9">
        <v>832</v>
      </c>
      <c r="G22" s="10">
        <v>914</v>
      </c>
      <c r="H22" s="9">
        <v>976</v>
      </c>
      <c r="I22" s="12">
        <v>1026</v>
      </c>
      <c r="J22" s="11">
        <v>1073</v>
      </c>
      <c r="K22" s="12">
        <v>1132</v>
      </c>
      <c r="L22" s="11">
        <v>1216</v>
      </c>
      <c r="M22" s="12">
        <v>1260</v>
      </c>
      <c r="N22" s="11">
        <v>1303</v>
      </c>
      <c r="O22" s="12">
        <v>1306</v>
      </c>
      <c r="P22" s="11">
        <v>1325</v>
      </c>
      <c r="Q22" s="12">
        <v>1330</v>
      </c>
      <c r="R22" s="9">
        <v>52</v>
      </c>
      <c r="S22" s="10" t="s">
        <v>138</v>
      </c>
      <c r="T22" s="13" t="s">
        <v>138</v>
      </c>
    </row>
    <row r="23" spans="1:20" x14ac:dyDescent="0.25">
      <c r="A23" s="72" t="s">
        <v>195</v>
      </c>
      <c r="B23" s="130">
        <v>400</v>
      </c>
      <c r="C23" s="10">
        <v>97</v>
      </c>
      <c r="D23" s="9" t="s">
        <v>138</v>
      </c>
      <c r="E23" s="10" t="s">
        <v>138</v>
      </c>
      <c r="F23" s="9">
        <v>375</v>
      </c>
      <c r="G23" s="10">
        <v>421</v>
      </c>
      <c r="H23" s="9">
        <v>470</v>
      </c>
      <c r="I23" s="10">
        <v>510</v>
      </c>
      <c r="J23" s="9">
        <v>541</v>
      </c>
      <c r="K23" s="10">
        <v>573</v>
      </c>
      <c r="L23" s="9">
        <v>582</v>
      </c>
      <c r="M23" s="10">
        <v>613</v>
      </c>
      <c r="N23" s="9">
        <v>710</v>
      </c>
      <c r="O23" s="10">
        <v>743</v>
      </c>
      <c r="P23" s="9">
        <v>775</v>
      </c>
      <c r="Q23" s="10">
        <v>782</v>
      </c>
      <c r="R23" s="9">
        <v>29</v>
      </c>
      <c r="S23" s="10" t="s">
        <v>189</v>
      </c>
      <c r="T23" s="13" t="s">
        <v>189</v>
      </c>
    </row>
    <row r="24" spans="1:20" x14ac:dyDescent="0.25">
      <c r="A24" s="72" t="s">
        <v>196</v>
      </c>
      <c r="B24" s="73">
        <v>1436</v>
      </c>
      <c r="C24" s="10">
        <v>369</v>
      </c>
      <c r="D24" s="9" t="s">
        <v>138</v>
      </c>
      <c r="E24" s="10" t="s">
        <v>197</v>
      </c>
      <c r="F24" s="11">
        <v>1369</v>
      </c>
      <c r="G24" s="12">
        <v>1274</v>
      </c>
      <c r="H24" s="11">
        <v>1084</v>
      </c>
      <c r="I24" s="10">
        <v>831</v>
      </c>
      <c r="J24" s="9">
        <v>712</v>
      </c>
      <c r="K24" s="10">
        <v>613</v>
      </c>
      <c r="L24" s="9">
        <v>458</v>
      </c>
      <c r="M24" s="10">
        <v>586</v>
      </c>
      <c r="N24" s="9">
        <v>930</v>
      </c>
      <c r="O24" s="10">
        <v>943</v>
      </c>
      <c r="P24" s="9">
        <v>883</v>
      </c>
      <c r="Q24" s="10">
        <v>812</v>
      </c>
      <c r="R24" s="9">
        <v>29</v>
      </c>
      <c r="S24" s="10" t="s">
        <v>189</v>
      </c>
      <c r="T24" s="13" t="s">
        <v>189</v>
      </c>
    </row>
    <row r="25" spans="1:20" x14ac:dyDescent="0.25">
      <c r="A25" s="72" t="s">
        <v>198</v>
      </c>
      <c r="B25" s="130"/>
      <c r="C25" s="10"/>
      <c r="D25" s="9" t="s">
        <v>197</v>
      </c>
      <c r="E25" s="10" t="s">
        <v>197</v>
      </c>
      <c r="F25" s="9" t="s">
        <v>197</v>
      </c>
      <c r="G25" s="10" t="s">
        <v>197</v>
      </c>
      <c r="H25" s="9" t="s">
        <v>197</v>
      </c>
      <c r="I25" s="10" t="s">
        <v>197</v>
      </c>
      <c r="J25" s="9">
        <v>70</v>
      </c>
      <c r="K25" s="10">
        <v>461</v>
      </c>
      <c r="L25" s="9">
        <v>563</v>
      </c>
      <c r="M25" s="131">
        <v>584</v>
      </c>
      <c r="N25" s="132">
        <v>595</v>
      </c>
      <c r="O25" s="131">
        <v>585</v>
      </c>
      <c r="P25" s="132">
        <v>567</v>
      </c>
      <c r="Q25" s="10"/>
      <c r="R25" s="9"/>
      <c r="S25" s="10"/>
      <c r="T25" s="13"/>
    </row>
    <row r="26" spans="1:20" x14ac:dyDescent="0.25">
      <c r="A26" s="72" t="s">
        <v>199</v>
      </c>
      <c r="B26" s="130">
        <v>121</v>
      </c>
      <c r="C26" s="10">
        <v>164</v>
      </c>
      <c r="D26" s="9">
        <v>167</v>
      </c>
      <c r="E26" s="10">
        <v>161</v>
      </c>
      <c r="F26" s="9">
        <v>157</v>
      </c>
      <c r="G26" s="10">
        <v>143</v>
      </c>
      <c r="H26" s="9">
        <v>155</v>
      </c>
      <c r="I26" s="10">
        <v>141</v>
      </c>
      <c r="J26" s="9">
        <v>154</v>
      </c>
      <c r="K26" s="10">
        <v>44</v>
      </c>
      <c r="L26" s="9">
        <v>11</v>
      </c>
      <c r="M26" s="131">
        <v>6</v>
      </c>
      <c r="N26" s="132">
        <v>4</v>
      </c>
      <c r="O26" s="131">
        <v>3</v>
      </c>
      <c r="P26" s="132">
        <v>2</v>
      </c>
      <c r="Q26" s="10"/>
      <c r="R26" s="9"/>
      <c r="S26" s="10"/>
      <c r="T26" s="13"/>
    </row>
    <row r="27" spans="1:20" x14ac:dyDescent="0.25">
      <c r="A27" s="72" t="s">
        <v>200</v>
      </c>
      <c r="B27" s="130">
        <v>60</v>
      </c>
      <c r="C27" s="10">
        <v>44</v>
      </c>
      <c r="D27" s="9">
        <v>35</v>
      </c>
      <c r="E27" s="10">
        <v>40</v>
      </c>
      <c r="F27" s="9">
        <v>49</v>
      </c>
      <c r="G27" s="10">
        <v>82</v>
      </c>
      <c r="H27" s="9">
        <v>140</v>
      </c>
      <c r="I27" s="10">
        <v>175</v>
      </c>
      <c r="J27" s="9">
        <v>162</v>
      </c>
      <c r="K27" s="10">
        <v>106</v>
      </c>
      <c r="L27" s="9">
        <v>71</v>
      </c>
      <c r="M27" s="10" t="s">
        <v>197</v>
      </c>
      <c r="N27" s="9" t="s">
        <v>197</v>
      </c>
      <c r="O27" s="10" t="s">
        <v>197</v>
      </c>
      <c r="P27" s="9" t="s">
        <v>197</v>
      </c>
      <c r="Q27" s="10"/>
      <c r="R27" s="9"/>
      <c r="S27" s="10"/>
      <c r="T27" s="13"/>
    </row>
    <row r="28" spans="1:20" x14ac:dyDescent="0.25">
      <c r="A28" s="72" t="s">
        <v>201</v>
      </c>
      <c r="B28" s="130">
        <v>111</v>
      </c>
      <c r="C28" s="10">
        <v>116</v>
      </c>
      <c r="D28" s="9">
        <v>125</v>
      </c>
      <c r="E28" s="10">
        <v>127</v>
      </c>
      <c r="F28" s="9">
        <v>97</v>
      </c>
      <c r="G28" s="10">
        <v>47</v>
      </c>
      <c r="H28" s="9">
        <v>11</v>
      </c>
      <c r="I28" s="10" t="s">
        <v>197</v>
      </c>
      <c r="J28" s="9" t="s">
        <v>197</v>
      </c>
      <c r="K28" s="10" t="s">
        <v>197</v>
      </c>
      <c r="L28" s="9"/>
      <c r="M28" s="10"/>
      <c r="N28" s="9"/>
      <c r="O28" s="10"/>
      <c r="P28" s="9"/>
      <c r="Q28" s="10"/>
      <c r="R28" s="9"/>
      <c r="S28" s="10"/>
      <c r="T28" s="13"/>
    </row>
    <row r="29" spans="1:20" x14ac:dyDescent="0.25">
      <c r="A29" s="72" t="s">
        <v>202</v>
      </c>
      <c r="B29" s="130" t="s">
        <v>138</v>
      </c>
      <c r="C29" s="12">
        <v>1486</v>
      </c>
      <c r="D29" s="11">
        <v>1937</v>
      </c>
      <c r="E29" s="12">
        <v>1849</v>
      </c>
      <c r="F29" s="9" t="s">
        <v>197</v>
      </c>
      <c r="G29" s="10" t="s">
        <v>197</v>
      </c>
      <c r="H29" s="9" t="s">
        <v>197</v>
      </c>
      <c r="I29" s="10" t="s">
        <v>197</v>
      </c>
      <c r="J29" s="9"/>
      <c r="K29" s="10"/>
      <c r="L29" s="9"/>
      <c r="M29" s="10"/>
      <c r="N29" s="9"/>
      <c r="O29" s="10"/>
      <c r="P29" s="9"/>
      <c r="Q29" s="10"/>
      <c r="R29" s="9"/>
      <c r="S29" s="10"/>
      <c r="T29" s="13"/>
    </row>
    <row r="30" spans="1:20" x14ac:dyDescent="0.25">
      <c r="A30" s="133" t="s">
        <v>203</v>
      </c>
      <c r="B30" s="134">
        <v>468</v>
      </c>
      <c r="C30" s="135">
        <v>473</v>
      </c>
      <c r="D30" s="136">
        <v>513</v>
      </c>
      <c r="E30" s="135">
        <v>531</v>
      </c>
      <c r="F30" s="136">
        <v>559</v>
      </c>
      <c r="G30" s="135">
        <v>559</v>
      </c>
      <c r="H30" s="136">
        <v>589</v>
      </c>
      <c r="I30" s="135">
        <v>308</v>
      </c>
      <c r="J30" s="136">
        <v>316</v>
      </c>
      <c r="K30" s="135">
        <v>351</v>
      </c>
      <c r="L30" s="136">
        <v>392</v>
      </c>
      <c r="M30" s="135">
        <v>408</v>
      </c>
      <c r="N30" s="136">
        <v>459</v>
      </c>
      <c r="O30" s="135">
        <v>593</v>
      </c>
      <c r="P30" s="136">
        <v>463</v>
      </c>
      <c r="Q30" s="135">
        <v>460</v>
      </c>
      <c r="R30" s="136">
        <v>395</v>
      </c>
      <c r="S30" s="135">
        <v>421</v>
      </c>
      <c r="T30" s="137">
        <v>447</v>
      </c>
    </row>
    <row r="31" spans="1:20" x14ac:dyDescent="0.25">
      <c r="A31" s="138" t="s">
        <v>204</v>
      </c>
      <c r="B31" s="139">
        <v>11730</v>
      </c>
      <c r="C31" s="140">
        <v>12006</v>
      </c>
      <c r="D31" s="141">
        <v>12072</v>
      </c>
      <c r="E31" s="140">
        <v>12385</v>
      </c>
      <c r="F31" s="141">
        <v>12614</v>
      </c>
      <c r="G31" s="140">
        <v>12884</v>
      </c>
      <c r="H31" s="141">
        <v>13181</v>
      </c>
      <c r="I31" s="140">
        <v>13326</v>
      </c>
      <c r="J31" s="141">
        <v>14246</v>
      </c>
      <c r="K31" s="140">
        <v>15435</v>
      </c>
      <c r="L31" s="141">
        <v>16288</v>
      </c>
      <c r="M31" s="140">
        <v>17366</v>
      </c>
      <c r="N31" s="141">
        <v>18961</v>
      </c>
      <c r="O31" s="140">
        <v>19781</v>
      </c>
      <c r="P31" s="141">
        <v>20375</v>
      </c>
      <c r="Q31" s="140">
        <v>20789</v>
      </c>
      <c r="R31" s="141">
        <v>21187</v>
      </c>
      <c r="S31" s="140">
        <v>21680</v>
      </c>
      <c r="T31" s="142">
        <v>22441</v>
      </c>
    </row>
    <row r="32" spans="1:20" x14ac:dyDescent="0.25">
      <c r="A32" s="143"/>
      <c r="B32" s="143"/>
      <c r="C32" s="158"/>
      <c r="D32" s="158"/>
      <c r="E32" s="158"/>
      <c r="F32" s="158"/>
      <c r="G32" s="158"/>
      <c r="H32" s="158"/>
      <c r="I32" s="158"/>
      <c r="J32" s="158"/>
      <c r="K32" s="158"/>
      <c r="L32" s="158"/>
      <c r="M32" s="158"/>
      <c r="N32" s="158"/>
      <c r="O32" s="158"/>
      <c r="P32" s="158"/>
      <c r="Q32" s="158"/>
      <c r="R32" s="158"/>
      <c r="S32" s="158"/>
      <c r="T32" s="158"/>
    </row>
    <row r="33" spans="1:1" x14ac:dyDescent="0.25">
      <c r="A33" s="143" t="s">
        <v>205</v>
      </c>
    </row>
    <row r="34" spans="1:1" x14ac:dyDescent="0.25">
      <c r="A34" s="144"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B6" workbookViewId="0">
      <selection activeCell="O9" sqref="O9:S24"/>
    </sheetView>
  </sheetViews>
  <sheetFormatPr defaultRowHeight="15" x14ac:dyDescent="0.25"/>
  <cols>
    <col min="15" max="18" width="9.5703125" customWidth="1"/>
  </cols>
  <sheetData>
    <row r="1" spans="1:19" x14ac:dyDescent="0.25">
      <c r="A1" s="176" t="s">
        <v>207</v>
      </c>
      <c r="B1" s="177"/>
      <c r="C1" s="171" t="s">
        <v>208</v>
      </c>
      <c r="D1" s="171" t="s">
        <v>209</v>
      </c>
      <c r="E1" s="171" t="s">
        <v>210</v>
      </c>
      <c r="F1" s="171" t="s">
        <v>211</v>
      </c>
      <c r="G1" s="171" t="s">
        <v>212</v>
      </c>
      <c r="H1" s="158"/>
      <c r="I1" s="158"/>
      <c r="J1" s="158"/>
      <c r="K1" s="158"/>
      <c r="L1" s="158"/>
      <c r="M1" s="158"/>
      <c r="N1" s="158"/>
      <c r="O1" s="158"/>
      <c r="P1" s="158"/>
      <c r="Q1" s="158"/>
      <c r="R1" s="158"/>
      <c r="S1" s="158"/>
    </row>
    <row r="2" spans="1:19" x14ac:dyDescent="0.25">
      <c r="A2" s="176"/>
      <c r="B2" s="177"/>
      <c r="C2" s="163">
        <v>2016</v>
      </c>
      <c r="D2" s="163">
        <v>2017</v>
      </c>
      <c r="E2" s="163">
        <v>2018</v>
      </c>
      <c r="F2" s="163">
        <v>2020</v>
      </c>
      <c r="G2" s="163">
        <v>2010</v>
      </c>
      <c r="H2" s="158"/>
      <c r="I2" s="158"/>
      <c r="J2" s="158"/>
      <c r="K2" s="158"/>
      <c r="L2" s="158"/>
      <c r="M2" s="158"/>
      <c r="N2" s="158"/>
      <c r="O2" s="158"/>
      <c r="P2" s="158"/>
      <c r="Q2" s="158"/>
      <c r="R2" s="158"/>
      <c r="S2" s="158"/>
    </row>
    <row r="3" spans="1:19" x14ac:dyDescent="0.25">
      <c r="A3" s="163" t="s">
        <v>213</v>
      </c>
      <c r="B3" s="177"/>
      <c r="C3" s="178">
        <v>0.23</v>
      </c>
      <c r="D3" s="178">
        <v>0.29299999999999998</v>
      </c>
      <c r="E3" s="178">
        <v>1.9710000000000001</v>
      </c>
      <c r="F3" s="178">
        <v>3.6469999999999998</v>
      </c>
      <c r="G3" s="178">
        <v>5.383</v>
      </c>
      <c r="H3" s="158"/>
      <c r="I3" s="158"/>
      <c r="J3" s="158"/>
      <c r="K3" s="158"/>
      <c r="L3" s="158"/>
      <c r="M3" s="158"/>
      <c r="N3" s="158"/>
      <c r="O3" s="158"/>
      <c r="P3" s="158"/>
      <c r="Q3" s="158"/>
      <c r="R3" s="158"/>
      <c r="S3" s="158"/>
    </row>
    <row r="4" spans="1:19" x14ac:dyDescent="0.25">
      <c r="A4" s="163" t="s">
        <v>214</v>
      </c>
      <c r="B4" s="177"/>
      <c r="C4" s="178">
        <v>-0.45</v>
      </c>
      <c r="D4" s="178">
        <v>-1</v>
      </c>
      <c r="E4" s="178">
        <v>-0.54500000000000004</v>
      </c>
      <c r="F4" s="178">
        <v>-0.5</v>
      </c>
      <c r="G4" s="178">
        <v>-0.5</v>
      </c>
      <c r="H4" s="158"/>
      <c r="I4" s="158"/>
      <c r="J4" s="158"/>
      <c r="K4" s="158"/>
      <c r="L4" s="158"/>
      <c r="M4" s="158"/>
      <c r="N4" s="158"/>
      <c r="O4" s="158"/>
      <c r="P4" s="158"/>
      <c r="Q4" s="158"/>
      <c r="R4" s="158"/>
      <c r="S4" s="158"/>
    </row>
    <row r="5" spans="1:19" x14ac:dyDescent="0.25">
      <c r="A5" s="163" t="s">
        <v>215</v>
      </c>
      <c r="B5" s="177"/>
      <c r="C5" s="179" t="e">
        <f>SUM(#REF!)</f>
        <v>#REF!</v>
      </c>
      <c r="D5" s="179" t="e">
        <f>SUM(#REF!)</f>
        <v>#REF!</v>
      </c>
      <c r="E5" s="179" t="e">
        <f>SUM(#REF!)</f>
        <v>#REF!</v>
      </c>
      <c r="F5" s="179" t="e">
        <f>SUM(#REF!)</f>
        <v>#REF!</v>
      </c>
      <c r="G5" s="179" t="e">
        <f>SUM(#REF!)</f>
        <v>#REF!</v>
      </c>
      <c r="H5" s="158"/>
      <c r="I5" s="158"/>
      <c r="J5" s="158"/>
      <c r="K5" s="158"/>
      <c r="L5" s="158"/>
      <c r="M5" s="158"/>
      <c r="N5" s="158"/>
      <c r="O5" s="158"/>
      <c r="P5" s="158"/>
      <c r="Q5" s="158"/>
      <c r="R5" s="158"/>
      <c r="S5" s="158"/>
    </row>
    <row r="6" spans="1:19" x14ac:dyDescent="0.25">
      <c r="A6" s="163"/>
      <c r="B6" s="177" t="s">
        <v>216</v>
      </c>
      <c r="C6" s="163"/>
      <c r="D6" s="180"/>
      <c r="E6" s="180"/>
      <c r="F6" s="180"/>
      <c r="G6" s="180"/>
      <c r="H6" s="158"/>
      <c r="I6" s="158"/>
      <c r="J6" s="158"/>
      <c r="K6" s="158"/>
      <c r="L6" s="158"/>
      <c r="M6" s="158"/>
      <c r="N6" s="158"/>
      <c r="O6" s="158"/>
      <c r="P6" s="158"/>
      <c r="Q6" s="158"/>
      <c r="R6" s="158"/>
      <c r="S6" s="158"/>
    </row>
    <row r="7" spans="1:19" ht="16.5" x14ac:dyDescent="0.25">
      <c r="A7" s="181" t="s">
        <v>217</v>
      </c>
      <c r="B7" s="177" t="s">
        <v>218</v>
      </c>
      <c r="C7" s="163"/>
      <c r="D7" s="177"/>
      <c r="E7" s="177"/>
      <c r="F7" s="177"/>
      <c r="G7" s="177"/>
      <c r="H7" s="158"/>
      <c r="I7" s="158"/>
      <c r="J7" s="158"/>
      <c r="K7" s="158"/>
      <c r="L7" s="158"/>
      <c r="M7" s="158"/>
      <c r="N7" s="158"/>
      <c r="O7" s="158"/>
      <c r="P7" s="158"/>
      <c r="Q7" s="158"/>
      <c r="R7" s="158"/>
      <c r="S7" s="158"/>
    </row>
    <row r="9" spans="1:19" x14ac:dyDescent="0.25">
      <c r="A9" s="19" t="s">
        <v>72</v>
      </c>
      <c r="B9" s="21">
        <v>4102</v>
      </c>
      <c r="C9" s="23">
        <v>4135</v>
      </c>
      <c r="D9" s="23">
        <v>4843</v>
      </c>
      <c r="E9" s="23">
        <v>4351</v>
      </c>
      <c r="F9" s="23">
        <v>4280</v>
      </c>
      <c r="G9" s="23">
        <v>4144</v>
      </c>
      <c r="H9" s="177" t="s">
        <v>219</v>
      </c>
      <c r="I9" s="182">
        <v>0.1</v>
      </c>
      <c r="J9" s="183">
        <v>-2.1999999999999999E-2</v>
      </c>
      <c r="K9" s="183">
        <v>-7.0999999999999994E-2</v>
      </c>
      <c r="L9" s="183">
        <v>0.14299999999999999</v>
      </c>
      <c r="M9" s="183">
        <v>0.315</v>
      </c>
      <c r="N9" s="183">
        <v>0.48799999999999999</v>
      </c>
      <c r="O9" s="184">
        <f>C9+J9*1000</f>
        <v>4113</v>
      </c>
      <c r="P9" s="184">
        <f t="shared" ref="P9:S9" si="0">D9+K9*1000</f>
        <v>4772</v>
      </c>
      <c r="Q9" s="184">
        <f t="shared" si="0"/>
        <v>4494</v>
      </c>
      <c r="R9" s="184">
        <f t="shared" si="0"/>
        <v>4595</v>
      </c>
      <c r="S9" s="184">
        <f t="shared" si="0"/>
        <v>4632</v>
      </c>
    </row>
    <row r="10" spans="1:19" x14ac:dyDescent="0.25">
      <c r="A10" s="24" t="s">
        <v>27</v>
      </c>
      <c r="B10" s="26">
        <v>2026</v>
      </c>
      <c r="C10" s="23">
        <v>2144</v>
      </c>
      <c r="D10" s="23">
        <v>2294</v>
      </c>
      <c r="E10" s="23">
        <v>2360</v>
      </c>
      <c r="F10" s="23">
        <v>2370</v>
      </c>
      <c r="G10" s="23">
        <v>2380</v>
      </c>
      <c r="H10" s="177" t="s">
        <v>27</v>
      </c>
      <c r="I10" s="182">
        <v>4.4999999999999998E-2</v>
      </c>
      <c r="J10" s="183">
        <v>-0.01</v>
      </c>
      <c r="K10" s="183">
        <v>-3.2000000000000001E-2</v>
      </c>
      <c r="L10" s="183">
        <v>6.4000000000000001E-2</v>
      </c>
      <c r="M10" s="183">
        <v>0.14199999999999999</v>
      </c>
      <c r="N10" s="183">
        <v>0.22</v>
      </c>
      <c r="O10" s="184">
        <f t="shared" ref="O10:O24" si="1">C10+J10*1000</f>
        <v>2134</v>
      </c>
      <c r="P10" s="184">
        <f t="shared" ref="P10:P24" si="2">D10+K10*1000</f>
        <v>2262</v>
      </c>
      <c r="Q10" s="184">
        <f t="shared" ref="Q10:Q24" si="3">E10+L10*1000</f>
        <v>2424</v>
      </c>
      <c r="R10" s="184">
        <f t="shared" ref="R10:R24" si="4">F10+M10*1000</f>
        <v>2512</v>
      </c>
      <c r="S10" s="184">
        <f t="shared" ref="S10:S24" si="5">G10+N10*1000</f>
        <v>2600</v>
      </c>
    </row>
    <row r="11" spans="1:19" x14ac:dyDescent="0.25">
      <c r="A11" s="24" t="s">
        <v>135</v>
      </c>
      <c r="B11" s="26">
        <v>2107</v>
      </c>
      <c r="C11" s="23">
        <v>2777</v>
      </c>
      <c r="D11" s="23">
        <v>3001</v>
      </c>
      <c r="E11" s="23">
        <v>2970</v>
      </c>
      <c r="F11" s="23">
        <v>2932</v>
      </c>
      <c r="G11" s="23">
        <v>2948</v>
      </c>
      <c r="H11" s="177" t="s">
        <v>135</v>
      </c>
      <c r="I11" s="182">
        <v>0.05</v>
      </c>
      <c r="J11" s="183">
        <v>-1.0999999999999999E-2</v>
      </c>
      <c r="K11" s="183">
        <v>-3.5000000000000003E-2</v>
      </c>
      <c r="L11" s="183">
        <v>7.0999999999999994E-2</v>
      </c>
      <c r="M11" s="183">
        <v>0.157</v>
      </c>
      <c r="N11" s="183">
        <v>0.24399999999999999</v>
      </c>
      <c r="O11" s="184">
        <f t="shared" si="1"/>
        <v>2766</v>
      </c>
      <c r="P11" s="184">
        <f t="shared" si="2"/>
        <v>2966</v>
      </c>
      <c r="Q11" s="184">
        <f t="shared" si="3"/>
        <v>3041</v>
      </c>
      <c r="R11" s="184">
        <f t="shared" si="4"/>
        <v>3089</v>
      </c>
      <c r="S11" s="184">
        <f t="shared" si="5"/>
        <v>3192</v>
      </c>
    </row>
    <row r="12" spans="1:19" x14ac:dyDescent="0.25">
      <c r="A12" s="24" t="s">
        <v>28</v>
      </c>
      <c r="B12" s="26">
        <v>13158</v>
      </c>
      <c r="C12" s="23">
        <v>13441</v>
      </c>
      <c r="D12" s="23">
        <v>13985</v>
      </c>
      <c r="E12" s="23">
        <v>14134</v>
      </c>
      <c r="F12" s="23">
        <v>14188</v>
      </c>
      <c r="G12" s="23">
        <v>14413</v>
      </c>
      <c r="H12" s="177" t="s">
        <v>28</v>
      </c>
      <c r="I12" s="182">
        <v>0.29499999999999998</v>
      </c>
      <c r="J12" s="183">
        <v>-6.5000000000000002E-2</v>
      </c>
      <c r="K12" s="183">
        <v>-0.20899999999999999</v>
      </c>
      <c r="L12" s="183">
        <v>0.42099999999999999</v>
      </c>
      <c r="M12" s="183">
        <v>0.92800000000000005</v>
      </c>
      <c r="N12" s="183">
        <v>1.44</v>
      </c>
      <c r="O12" s="184">
        <f t="shared" si="1"/>
        <v>13376</v>
      </c>
      <c r="P12" s="184">
        <f t="shared" si="2"/>
        <v>13776</v>
      </c>
      <c r="Q12" s="184">
        <f t="shared" si="3"/>
        <v>14555</v>
      </c>
      <c r="R12" s="184">
        <f t="shared" si="4"/>
        <v>15116</v>
      </c>
      <c r="S12" s="184">
        <f t="shared" si="5"/>
        <v>15853</v>
      </c>
    </row>
    <row r="13" spans="1:19" x14ac:dyDescent="0.25">
      <c r="A13" s="24" t="s">
        <v>136</v>
      </c>
      <c r="B13" s="26">
        <v>587</v>
      </c>
      <c r="C13" s="23">
        <v>893</v>
      </c>
      <c r="D13" s="23">
        <v>1014.9999999999999</v>
      </c>
      <c r="E13" s="23">
        <v>929</v>
      </c>
      <c r="F13" s="23">
        <v>984</v>
      </c>
      <c r="G13" s="23">
        <v>987</v>
      </c>
      <c r="H13" s="177" t="s">
        <v>220</v>
      </c>
      <c r="I13" s="182">
        <v>1.4999999999999999E-2</v>
      </c>
      <c r="J13" s="183">
        <v>-3.0000000000000001E-3</v>
      </c>
      <c r="K13" s="183">
        <v>-1.0999999999999999E-2</v>
      </c>
      <c r="L13" s="183">
        <v>2.1000000000000001E-2</v>
      </c>
      <c r="M13" s="183">
        <v>4.7E-2</v>
      </c>
      <c r="N13" s="183">
        <v>7.2999999999999995E-2</v>
      </c>
      <c r="O13" s="184">
        <f t="shared" si="1"/>
        <v>890</v>
      </c>
      <c r="P13" s="184">
        <f t="shared" si="2"/>
        <v>1003.9999999999999</v>
      </c>
      <c r="Q13" s="184">
        <f t="shared" si="3"/>
        <v>950</v>
      </c>
      <c r="R13" s="184">
        <f t="shared" si="4"/>
        <v>1031</v>
      </c>
      <c r="S13" s="184">
        <f t="shared" si="5"/>
        <v>1060</v>
      </c>
    </row>
    <row r="14" spans="1:19" x14ac:dyDescent="0.25">
      <c r="A14" s="24" t="s">
        <v>29</v>
      </c>
      <c r="B14" s="26">
        <v>3590</v>
      </c>
      <c r="C14" s="23">
        <v>3588</v>
      </c>
      <c r="D14" s="23">
        <v>3493</v>
      </c>
      <c r="E14" s="23">
        <v>3403</v>
      </c>
      <c r="F14" s="23">
        <v>3662</v>
      </c>
      <c r="G14" s="23">
        <v>3806</v>
      </c>
      <c r="H14" s="158"/>
      <c r="I14" s="158"/>
      <c r="J14" s="158"/>
      <c r="K14" s="158"/>
      <c r="L14" s="158"/>
      <c r="M14" s="158"/>
      <c r="N14" s="158"/>
      <c r="O14" s="184">
        <f t="shared" si="1"/>
        <v>3588</v>
      </c>
      <c r="P14" s="184">
        <f t="shared" si="2"/>
        <v>3493</v>
      </c>
      <c r="Q14" s="184">
        <f t="shared" si="3"/>
        <v>3403</v>
      </c>
      <c r="R14" s="184">
        <f t="shared" si="4"/>
        <v>3662</v>
      </c>
      <c r="S14" s="184">
        <f t="shared" si="5"/>
        <v>3806</v>
      </c>
    </row>
    <row r="15" spans="1:19" x14ac:dyDescent="0.25">
      <c r="A15" s="24" t="s">
        <v>137</v>
      </c>
      <c r="B15" s="26">
        <v>271</v>
      </c>
      <c r="C15" s="23">
        <v>214</v>
      </c>
      <c r="D15" s="23">
        <v>220</v>
      </c>
      <c r="E15" s="23">
        <v>232</v>
      </c>
      <c r="F15" s="23">
        <v>243</v>
      </c>
      <c r="G15" s="23">
        <v>243</v>
      </c>
      <c r="H15" s="158"/>
      <c r="I15" s="158"/>
      <c r="J15" s="158"/>
      <c r="K15" s="158"/>
      <c r="L15" s="158"/>
      <c r="M15" s="158"/>
      <c r="N15" s="158"/>
      <c r="O15" s="184">
        <f t="shared" si="1"/>
        <v>214</v>
      </c>
      <c r="P15" s="184">
        <f t="shared" si="2"/>
        <v>220</v>
      </c>
      <c r="Q15" s="184">
        <f t="shared" si="3"/>
        <v>232</v>
      </c>
      <c r="R15" s="184">
        <f t="shared" si="4"/>
        <v>243</v>
      </c>
      <c r="S15" s="184">
        <f t="shared" si="5"/>
        <v>243</v>
      </c>
    </row>
    <row r="16" spans="1:19" x14ac:dyDescent="0.25">
      <c r="A16" s="24" t="s">
        <v>30</v>
      </c>
      <c r="B16" s="26">
        <v>15626</v>
      </c>
      <c r="C16" s="23">
        <v>16202.000000000002</v>
      </c>
      <c r="D16" s="23">
        <v>17096</v>
      </c>
      <c r="E16" s="23">
        <v>17225</v>
      </c>
      <c r="F16" s="23">
        <v>17234</v>
      </c>
      <c r="G16" s="23">
        <v>17193</v>
      </c>
      <c r="H16" s="177" t="s">
        <v>30</v>
      </c>
      <c r="I16" s="182">
        <v>0.34499999999999997</v>
      </c>
      <c r="J16" s="183">
        <v>-7.3999999999999996E-2</v>
      </c>
      <c r="K16" s="183">
        <v>-0.24299999999999999</v>
      </c>
      <c r="L16" s="183">
        <v>0.49099999999999999</v>
      </c>
      <c r="M16" s="183">
        <v>1.0860000000000001</v>
      </c>
      <c r="N16" s="183">
        <v>1.6859999999999999</v>
      </c>
      <c r="O16" s="184">
        <f t="shared" si="1"/>
        <v>16128.000000000002</v>
      </c>
      <c r="P16" s="184">
        <f t="shared" si="2"/>
        <v>16853</v>
      </c>
      <c r="Q16" s="184">
        <f t="shared" si="3"/>
        <v>17716</v>
      </c>
      <c r="R16" s="184">
        <f t="shared" si="4"/>
        <v>18320</v>
      </c>
      <c r="S16" s="184">
        <f t="shared" si="5"/>
        <v>18879</v>
      </c>
    </row>
    <row r="17" spans="1:19" x14ac:dyDescent="0.25">
      <c r="A17" s="24" t="s">
        <v>139</v>
      </c>
      <c r="B17" s="26">
        <v>787</v>
      </c>
      <c r="C17" s="23">
        <v>861</v>
      </c>
      <c r="D17" s="23">
        <v>885</v>
      </c>
      <c r="E17" s="23">
        <v>875</v>
      </c>
      <c r="F17" s="23">
        <v>841</v>
      </c>
      <c r="G17" s="23">
        <v>814</v>
      </c>
      <c r="H17" s="177" t="s">
        <v>139</v>
      </c>
      <c r="I17" s="182">
        <v>0.02</v>
      </c>
      <c r="J17" s="183">
        <v>-4.0000000000000001E-3</v>
      </c>
      <c r="K17" s="183">
        <v>-1.4E-2</v>
      </c>
      <c r="L17" s="183">
        <v>2.9000000000000001E-2</v>
      </c>
      <c r="M17" s="183">
        <v>6.3E-2</v>
      </c>
      <c r="N17" s="183">
        <v>9.8000000000000004E-2</v>
      </c>
      <c r="O17" s="184">
        <f t="shared" si="1"/>
        <v>857</v>
      </c>
      <c r="P17" s="184">
        <f t="shared" si="2"/>
        <v>871</v>
      </c>
      <c r="Q17" s="184">
        <f t="shared" si="3"/>
        <v>904</v>
      </c>
      <c r="R17" s="184">
        <f t="shared" si="4"/>
        <v>904</v>
      </c>
      <c r="S17" s="184">
        <f t="shared" si="5"/>
        <v>912</v>
      </c>
    </row>
    <row r="18" spans="1:19" x14ac:dyDescent="0.25">
      <c r="A18" s="24" t="s">
        <v>140</v>
      </c>
      <c r="B18" s="26">
        <v>558</v>
      </c>
      <c r="C18" s="23">
        <v>640</v>
      </c>
      <c r="D18" s="23">
        <v>437</v>
      </c>
      <c r="E18" s="23">
        <v>462</v>
      </c>
      <c r="F18" s="23">
        <v>427</v>
      </c>
      <c r="G18" s="23">
        <v>447</v>
      </c>
      <c r="H18" s="177" t="s">
        <v>140</v>
      </c>
      <c r="I18" s="182">
        <v>0.01</v>
      </c>
      <c r="J18" s="183">
        <v>-2E-3</v>
      </c>
      <c r="K18" s="183">
        <v>-7.0000000000000001E-3</v>
      </c>
      <c r="L18" s="183">
        <v>1.4E-2</v>
      </c>
      <c r="M18" s="183">
        <v>3.1E-2</v>
      </c>
      <c r="N18" s="183">
        <v>4.9000000000000002E-2</v>
      </c>
      <c r="O18" s="184">
        <f t="shared" si="1"/>
        <v>638</v>
      </c>
      <c r="P18" s="184">
        <f t="shared" si="2"/>
        <v>430</v>
      </c>
      <c r="Q18" s="184">
        <f t="shared" si="3"/>
        <v>476</v>
      </c>
      <c r="R18" s="184">
        <f t="shared" si="4"/>
        <v>458</v>
      </c>
      <c r="S18" s="184">
        <f t="shared" si="5"/>
        <v>496</v>
      </c>
    </row>
    <row r="19" spans="1:19" x14ac:dyDescent="0.25">
      <c r="A19" s="24" t="s">
        <v>31</v>
      </c>
      <c r="B19" s="26">
        <v>3648</v>
      </c>
      <c r="C19" s="23">
        <v>3985</v>
      </c>
      <c r="D19" s="23">
        <v>4119</v>
      </c>
      <c r="E19" s="23">
        <v>4178</v>
      </c>
      <c r="F19" s="23">
        <v>4222</v>
      </c>
      <c r="G19" s="23">
        <v>4278</v>
      </c>
      <c r="H19" s="177" t="s">
        <v>31</v>
      </c>
      <c r="I19" s="182">
        <v>0.08</v>
      </c>
      <c r="J19" s="183">
        <v>-1.7999999999999999E-2</v>
      </c>
      <c r="K19" s="183">
        <v>-5.7000000000000002E-2</v>
      </c>
      <c r="L19" s="183">
        <v>0.114</v>
      </c>
      <c r="M19" s="183">
        <v>0.252</v>
      </c>
      <c r="N19" s="183">
        <v>0.39100000000000001</v>
      </c>
      <c r="O19" s="184">
        <f t="shared" si="1"/>
        <v>3967</v>
      </c>
      <c r="P19" s="184">
        <f t="shared" si="2"/>
        <v>4062</v>
      </c>
      <c r="Q19" s="184">
        <f t="shared" si="3"/>
        <v>4292</v>
      </c>
      <c r="R19" s="184">
        <f t="shared" si="4"/>
        <v>4474</v>
      </c>
      <c r="S19" s="184">
        <f t="shared" si="5"/>
        <v>4669</v>
      </c>
    </row>
    <row r="20" spans="1:19" x14ac:dyDescent="0.25">
      <c r="A20" s="24" t="s">
        <v>141</v>
      </c>
      <c r="B20" s="26"/>
      <c r="C20" s="28"/>
      <c r="D20" s="28"/>
      <c r="E20" s="28"/>
      <c r="F20" s="28"/>
      <c r="G20" s="28"/>
      <c r="H20" s="158"/>
      <c r="I20" s="158"/>
      <c r="J20" s="158"/>
      <c r="K20" s="158"/>
      <c r="L20" s="158"/>
      <c r="M20" s="158"/>
      <c r="N20" s="158"/>
      <c r="O20" s="184">
        <f t="shared" si="1"/>
        <v>0</v>
      </c>
      <c r="P20" s="184">
        <f t="shared" si="2"/>
        <v>0</v>
      </c>
      <c r="Q20" s="184">
        <f t="shared" si="3"/>
        <v>0</v>
      </c>
      <c r="R20" s="184">
        <f t="shared" si="4"/>
        <v>0</v>
      </c>
      <c r="S20" s="184">
        <f t="shared" si="5"/>
        <v>0</v>
      </c>
    </row>
    <row r="21" spans="1:19" x14ac:dyDescent="0.25">
      <c r="A21" s="24" t="s">
        <v>143</v>
      </c>
      <c r="B21" s="26">
        <v>461</v>
      </c>
      <c r="C21" s="23">
        <v>444</v>
      </c>
      <c r="D21" s="23">
        <v>406</v>
      </c>
      <c r="E21" s="23">
        <v>401</v>
      </c>
      <c r="F21" s="23">
        <v>396</v>
      </c>
      <c r="G21" s="23">
        <v>396</v>
      </c>
      <c r="H21" s="158"/>
      <c r="I21" s="158"/>
      <c r="J21" s="158"/>
      <c r="K21" s="158"/>
      <c r="L21" s="158"/>
      <c r="M21" s="158"/>
      <c r="N21" s="158"/>
      <c r="O21" s="184">
        <f t="shared" si="1"/>
        <v>444</v>
      </c>
      <c r="P21" s="184">
        <f t="shared" si="2"/>
        <v>406</v>
      </c>
      <c r="Q21" s="184">
        <f t="shared" si="3"/>
        <v>401</v>
      </c>
      <c r="R21" s="184">
        <f t="shared" si="4"/>
        <v>396</v>
      </c>
      <c r="S21" s="184">
        <f t="shared" si="5"/>
        <v>396</v>
      </c>
    </row>
    <row r="22" spans="1:19" x14ac:dyDescent="0.25">
      <c r="A22" s="24" t="s">
        <v>144</v>
      </c>
      <c r="B22" s="26">
        <v>749</v>
      </c>
      <c r="C22" s="23">
        <v>715</v>
      </c>
      <c r="D22" s="23">
        <v>730</v>
      </c>
      <c r="E22" s="23">
        <v>667</v>
      </c>
      <c r="F22" s="23">
        <v>653</v>
      </c>
      <c r="G22" s="23">
        <v>638</v>
      </c>
      <c r="H22" s="177" t="s">
        <v>144</v>
      </c>
      <c r="I22" s="182">
        <v>1.4999999999999999E-2</v>
      </c>
      <c r="J22" s="183">
        <v>-3.0000000000000001E-3</v>
      </c>
      <c r="K22" s="183">
        <v>-1.0999999999999999E-2</v>
      </c>
      <c r="L22" s="183">
        <v>2.1000000000000001E-2</v>
      </c>
      <c r="M22" s="183">
        <v>4.7E-2</v>
      </c>
      <c r="N22" s="183">
        <v>7.2999999999999995E-2</v>
      </c>
      <c r="O22" s="184">
        <f t="shared" si="1"/>
        <v>712</v>
      </c>
      <c r="P22" s="184">
        <f t="shared" si="2"/>
        <v>719</v>
      </c>
      <c r="Q22" s="184">
        <f t="shared" si="3"/>
        <v>688</v>
      </c>
      <c r="R22" s="184">
        <f t="shared" si="4"/>
        <v>700</v>
      </c>
      <c r="S22" s="184">
        <f t="shared" si="5"/>
        <v>711</v>
      </c>
    </row>
    <row r="23" spans="1:19" x14ac:dyDescent="0.25">
      <c r="A23" s="24" t="s">
        <v>145</v>
      </c>
      <c r="B23" s="26">
        <v>24081</v>
      </c>
      <c r="C23" s="23">
        <v>25412</v>
      </c>
      <c r="D23" s="23">
        <v>26340</v>
      </c>
      <c r="E23" s="23">
        <v>27509</v>
      </c>
      <c r="F23" s="23">
        <v>28291</v>
      </c>
      <c r="G23" s="23">
        <v>29197</v>
      </c>
      <c r="H23" s="177" t="s">
        <v>221</v>
      </c>
      <c r="I23" s="182">
        <v>2.5000000000000001E-2</v>
      </c>
      <c r="J23" s="183">
        <v>-6.0000000000000001E-3</v>
      </c>
      <c r="K23" s="183">
        <v>-1.7999999999999999E-2</v>
      </c>
      <c r="L23" s="183">
        <v>3.5999999999999997E-2</v>
      </c>
      <c r="M23" s="183">
        <v>7.9000000000000001E-2</v>
      </c>
      <c r="N23" s="183">
        <v>0.122</v>
      </c>
      <c r="O23" s="184">
        <f t="shared" si="1"/>
        <v>25406</v>
      </c>
      <c r="P23" s="184">
        <f t="shared" si="2"/>
        <v>26322</v>
      </c>
      <c r="Q23" s="184">
        <f t="shared" si="3"/>
        <v>27545</v>
      </c>
      <c r="R23" s="184">
        <f t="shared" si="4"/>
        <v>28370</v>
      </c>
      <c r="S23" s="184">
        <f t="shared" si="5"/>
        <v>29319</v>
      </c>
    </row>
    <row r="24" spans="1:19" x14ac:dyDescent="0.25">
      <c r="A24" s="32" t="s">
        <v>146</v>
      </c>
      <c r="B24" s="34">
        <v>2178</v>
      </c>
      <c r="C24" s="23">
        <v>2233</v>
      </c>
      <c r="D24" s="23">
        <v>2329</v>
      </c>
      <c r="E24" s="23">
        <v>2344</v>
      </c>
      <c r="F24" s="23">
        <v>2364</v>
      </c>
      <c r="G24" s="23">
        <v>2456</v>
      </c>
      <c r="H24" s="158"/>
      <c r="I24" s="158"/>
      <c r="J24" s="158"/>
      <c r="K24" s="158"/>
      <c r="L24" s="158"/>
      <c r="M24" s="158"/>
      <c r="N24" s="158"/>
      <c r="O24" s="184">
        <f t="shared" si="1"/>
        <v>2233</v>
      </c>
      <c r="P24" s="184">
        <f t="shared" si="2"/>
        <v>2329</v>
      </c>
      <c r="Q24" s="184">
        <f t="shared" si="3"/>
        <v>2344</v>
      </c>
      <c r="R24" s="184">
        <f t="shared" si="4"/>
        <v>2364</v>
      </c>
      <c r="S24" s="184">
        <f t="shared" si="5"/>
        <v>2456</v>
      </c>
    </row>
    <row r="25" spans="1:19" x14ac:dyDescent="0.25">
      <c r="A25" s="36" t="s">
        <v>35</v>
      </c>
      <c r="B25" s="38">
        <v>73929</v>
      </c>
      <c r="C25" s="28">
        <v>77464.000000000015</v>
      </c>
      <c r="D25" s="28">
        <v>80486</v>
      </c>
      <c r="E25" s="28">
        <v>83466.000000000015</v>
      </c>
      <c r="F25" s="28">
        <v>86234.000000000015</v>
      </c>
      <c r="G25" s="28">
        <v>89223</v>
      </c>
      <c r="H25" s="158"/>
      <c r="I25" s="158"/>
      <c r="J25" s="158"/>
      <c r="K25" s="158"/>
      <c r="L25" s="158"/>
      <c r="M25" s="158"/>
      <c r="N25" s="158"/>
      <c r="O25" s="158"/>
      <c r="P25" s="158"/>
      <c r="Q25" s="158"/>
      <c r="R25" s="158"/>
      <c r="S25" s="15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D63"/>
  <sheetViews>
    <sheetView topLeftCell="O1" workbookViewId="0">
      <selection activeCell="AD2" sqref="Z2:AD2"/>
    </sheetView>
  </sheetViews>
  <sheetFormatPr defaultColWidth="9.140625" defaultRowHeight="15" x14ac:dyDescent="0.25"/>
  <cols>
    <col min="1" max="1" width="42.28515625" style="86" customWidth="1"/>
    <col min="2" max="5" width="9.140625" style="86"/>
    <col min="6" max="8" width="10.5703125" style="86" customWidth="1"/>
    <col min="9" max="10" width="10.7109375" style="86" customWidth="1"/>
    <col min="11" max="22" width="10.5703125" style="86" customWidth="1"/>
    <col min="23" max="23" width="10.7109375" style="86" customWidth="1"/>
    <col min="24" max="24" width="10.5703125" style="86" customWidth="1"/>
    <col min="25" max="16384" width="9.140625" style="86"/>
  </cols>
  <sheetData>
    <row r="1" spans="1:30" x14ac:dyDescent="0.25">
      <c r="A1" s="86" t="s">
        <v>50</v>
      </c>
      <c r="B1" s="87"/>
      <c r="C1" s="87"/>
      <c r="D1" s="87"/>
      <c r="E1" s="87"/>
      <c r="F1" s="87"/>
      <c r="G1" s="87"/>
      <c r="H1" s="87"/>
      <c r="I1" s="87"/>
      <c r="J1" s="87"/>
      <c r="K1" s="87"/>
      <c r="L1" s="87"/>
      <c r="M1" s="87"/>
      <c r="N1" s="87"/>
      <c r="O1" s="87"/>
      <c r="P1" s="87"/>
      <c r="Q1" s="87"/>
      <c r="R1" s="87"/>
      <c r="S1" s="87"/>
      <c r="T1" s="87"/>
      <c r="U1" s="87"/>
      <c r="V1" s="87"/>
      <c r="W1" s="87"/>
      <c r="X1" s="87"/>
      <c r="Y1" s="87"/>
    </row>
    <row r="2" spans="1:30" s="91" customFormat="1" x14ac:dyDescent="0.25">
      <c r="A2" s="189" t="s">
        <v>0</v>
      </c>
      <c r="B2" s="88">
        <v>34121</v>
      </c>
      <c r="C2" s="89">
        <v>34486</v>
      </c>
      <c r="D2" s="89">
        <v>34851</v>
      </c>
      <c r="E2" s="89">
        <v>35217</v>
      </c>
      <c r="F2" s="89">
        <v>35582</v>
      </c>
      <c r="G2" s="89">
        <v>35947</v>
      </c>
      <c r="H2" s="89">
        <v>36312</v>
      </c>
      <c r="I2" s="89">
        <v>36678</v>
      </c>
      <c r="J2" s="89">
        <v>37043</v>
      </c>
      <c r="K2" s="89">
        <v>37408</v>
      </c>
      <c r="L2" s="89">
        <v>37773</v>
      </c>
      <c r="M2" s="89">
        <v>38139</v>
      </c>
      <c r="N2" s="89">
        <v>38504</v>
      </c>
      <c r="O2" s="89">
        <v>38869</v>
      </c>
      <c r="P2" s="89">
        <v>39234</v>
      </c>
      <c r="Q2" s="89">
        <v>39600</v>
      </c>
      <c r="R2" s="89">
        <v>39965</v>
      </c>
      <c r="S2" s="89">
        <v>40330</v>
      </c>
      <c r="T2" s="89">
        <v>40695</v>
      </c>
      <c r="U2" s="89">
        <v>41061</v>
      </c>
      <c r="V2" s="89">
        <v>41426</v>
      </c>
      <c r="W2" s="89">
        <v>41791</v>
      </c>
      <c r="X2" s="89">
        <v>42156</v>
      </c>
      <c r="Y2" s="89">
        <v>42522</v>
      </c>
      <c r="Z2" s="89">
        <f>EDATE(Y2,12)</f>
        <v>42887</v>
      </c>
      <c r="AA2" s="89">
        <f>EDATE(Z2,12)</f>
        <v>43252</v>
      </c>
      <c r="AB2" s="89">
        <f>EDATE(AA2,12)</f>
        <v>43617</v>
      </c>
      <c r="AC2" s="89">
        <f>EDATE(AB2,12)</f>
        <v>43983</v>
      </c>
      <c r="AD2" s="89">
        <f>EDATE(AC2,12)</f>
        <v>44348</v>
      </c>
    </row>
    <row r="3" spans="1:30" x14ac:dyDescent="0.25">
      <c r="A3" s="190"/>
      <c r="B3" s="92" t="s">
        <v>24</v>
      </c>
      <c r="C3" s="93" t="s">
        <v>24</v>
      </c>
      <c r="D3" s="93" t="s">
        <v>24</v>
      </c>
      <c r="E3" s="93" t="s">
        <v>24</v>
      </c>
      <c r="F3" s="93" t="s">
        <v>24</v>
      </c>
      <c r="G3" s="93" t="s">
        <v>24</v>
      </c>
      <c r="H3" s="93" t="s">
        <v>24</v>
      </c>
      <c r="I3" s="93" t="s">
        <v>24</v>
      </c>
      <c r="J3" s="93" t="s">
        <v>24</v>
      </c>
      <c r="K3" s="93" t="s">
        <v>24</v>
      </c>
      <c r="L3" s="93" t="s">
        <v>24</v>
      </c>
      <c r="M3" s="93" t="s">
        <v>24</v>
      </c>
      <c r="N3" s="93" t="s">
        <v>24</v>
      </c>
      <c r="O3" s="93" t="s">
        <v>24</v>
      </c>
      <c r="P3" s="93" t="s">
        <v>24</v>
      </c>
      <c r="Q3" s="94" t="s">
        <v>24</v>
      </c>
      <c r="R3" s="94" t="s">
        <v>24</v>
      </c>
      <c r="S3" s="94" t="s">
        <v>24</v>
      </c>
      <c r="T3" s="94" t="s">
        <v>24</v>
      </c>
      <c r="U3" s="94" t="s">
        <v>24</v>
      </c>
      <c r="V3" s="94" t="s">
        <v>24</v>
      </c>
      <c r="W3" s="93" t="s">
        <v>24</v>
      </c>
      <c r="X3" s="93" t="s">
        <v>24</v>
      </c>
      <c r="Y3" s="93" t="s">
        <v>24</v>
      </c>
    </row>
    <row r="4" spans="1:30" x14ac:dyDescent="0.25">
      <c r="A4" s="190"/>
      <c r="B4" s="92" t="s">
        <v>51</v>
      </c>
      <c r="C4" s="92" t="s">
        <v>51</v>
      </c>
      <c r="D4" s="92" t="s">
        <v>51</v>
      </c>
      <c r="E4" s="92" t="s">
        <v>51</v>
      </c>
      <c r="F4" s="92" t="s">
        <v>51</v>
      </c>
      <c r="G4" s="92" t="s">
        <v>51</v>
      </c>
      <c r="H4" s="92" t="s">
        <v>51</v>
      </c>
      <c r="I4" s="92" t="s">
        <v>51</v>
      </c>
      <c r="J4" s="92" t="s">
        <v>51</v>
      </c>
      <c r="K4" s="92" t="s">
        <v>51</v>
      </c>
      <c r="L4" s="92" t="s">
        <v>51</v>
      </c>
      <c r="M4" s="92" t="s">
        <v>51</v>
      </c>
      <c r="N4" s="92" t="s">
        <v>51</v>
      </c>
      <c r="O4" s="92" t="s">
        <v>51</v>
      </c>
      <c r="P4" s="92" t="s">
        <v>51</v>
      </c>
      <c r="Q4" s="92" t="s">
        <v>51</v>
      </c>
      <c r="R4" s="92" t="s">
        <v>51</v>
      </c>
      <c r="S4" s="92" t="s">
        <v>51</v>
      </c>
      <c r="T4" s="92" t="s">
        <v>51</v>
      </c>
      <c r="U4" s="92" t="s">
        <v>51</v>
      </c>
      <c r="V4" s="92" t="s">
        <v>51</v>
      </c>
      <c r="W4" s="92" t="s">
        <v>51</v>
      </c>
      <c r="X4" s="92" t="s">
        <v>51</v>
      </c>
      <c r="Y4" s="92" t="s">
        <v>51</v>
      </c>
    </row>
    <row r="5" spans="1:30" s="98" customFormat="1" ht="15.75" customHeight="1" x14ac:dyDescent="0.25">
      <c r="A5" s="95" t="s">
        <v>26</v>
      </c>
      <c r="B5" s="96"/>
      <c r="C5" s="97"/>
      <c r="D5" s="97"/>
      <c r="E5" s="97"/>
      <c r="F5" s="97"/>
      <c r="G5" s="97"/>
      <c r="H5" s="97"/>
      <c r="I5" s="97"/>
      <c r="J5" s="97"/>
      <c r="K5" s="97"/>
      <c r="L5" s="97"/>
      <c r="M5" s="97"/>
      <c r="N5" s="97"/>
      <c r="O5" s="97"/>
      <c r="P5" s="97"/>
      <c r="Q5" s="97"/>
      <c r="R5" s="97"/>
      <c r="S5" s="97"/>
      <c r="T5" s="97"/>
      <c r="U5" s="97"/>
      <c r="V5" s="97"/>
      <c r="W5" s="97"/>
      <c r="X5" s="97"/>
      <c r="Y5" s="97"/>
    </row>
    <row r="6" spans="1:30" s="101" customFormat="1" x14ac:dyDescent="0.25">
      <c r="A6" s="99" t="str">
        <f>+'Aggregated expenditure (Core)'!A6</f>
        <v>Core govt services</v>
      </c>
      <c r="B6" s="100">
        <f>IFERROR('Aggregated expenditure (Core)'!B6*1000000/Population!D$2,0)</f>
        <v>409.83147640109735</v>
      </c>
      <c r="C6" s="100">
        <f>IFERROR('Aggregated expenditure (Core)'!C6*1000000/Population!E$2,0)</f>
        <v>475.96685082872926</v>
      </c>
      <c r="D6" s="100">
        <f>IFERROR('Aggregated expenditure (Core)'!D6*1000000/Population!F$2,0)</f>
        <v>364.7846681548429</v>
      </c>
      <c r="E6" s="100">
        <f>IFERROR('Aggregated expenditure (Core)'!E6*1000000/Population!G$2,0)</f>
        <v>419.34619506966771</v>
      </c>
      <c r="F6" s="100">
        <f>IFERROR('Aggregated expenditure (Core)'!F6*1000000/Population!H$2,0)</f>
        <v>440.85367466215325</v>
      </c>
      <c r="G6" s="100">
        <f>IFERROR('Aggregated expenditure (Core)'!G6*1000000/Population!I$2,0)</f>
        <v>409.43643512450853</v>
      </c>
      <c r="H6" s="100">
        <f>IFERROR('Aggregated expenditure (Core)'!H6*1000000/Population!J$2,0)</f>
        <v>444.57771635680945</v>
      </c>
      <c r="I6" s="100">
        <f>IFERROR('Aggregated expenditure (Core)'!I6*1000000/Population!K$2,0)</f>
        <v>443.26930554475467</v>
      </c>
      <c r="J6" s="100">
        <f>IFERROR('Aggregated expenditure (Core)'!J6*1000000/Population!L$2,0)</f>
        <v>463.34235278958897</v>
      </c>
      <c r="K6" s="100">
        <f>IFERROR('Aggregated expenditure (Core)'!K6*1000000/Population!M$2,0)</f>
        <v>390.02152716221349</v>
      </c>
      <c r="L6" s="100">
        <f>IFERROR('Aggregated expenditure (Core)'!L6*1000000/Population!N$2,0)</f>
        <v>528.90345649582832</v>
      </c>
      <c r="M6" s="100">
        <f>IFERROR('Aggregated expenditure (Core)'!M6*1000000/Population!O$2,0)</f>
        <v>511.55963302752292</v>
      </c>
      <c r="N6" s="100">
        <f>IFERROR('Aggregated expenditure (Core)'!N6*1000000/Population!P$2,0)</f>
        <v>620.9632550376158</v>
      </c>
      <c r="O6" s="100">
        <f>IFERROR('Aggregated expenditure (Core)'!O6*1000000/Population!Q$2,0)</f>
        <v>599.09717227090562</v>
      </c>
      <c r="P6" s="100">
        <f>IFERROR('Aggregated expenditure (Core)'!P6*1000000/Population!R$2,0)</f>
        <v>1140.1893055167548</v>
      </c>
      <c r="Q6" s="100">
        <f>IFERROR('Aggregated expenditure (Core)'!Q6*1000000/Population!S$2,0)</f>
        <v>791.36099536357767</v>
      </c>
      <c r="R6" s="100">
        <f>IFERROR('Aggregated expenditure (Core)'!R6*1000000/Population!T$2,0)</f>
        <v>1230.1892580980293</v>
      </c>
      <c r="S6" s="100">
        <f>IFERROR('Aggregated expenditure (Core)'!S6*1000000/Population!U$2,0)</f>
        <v>683.57287498247399</v>
      </c>
      <c r="T6" s="100">
        <f>IFERROR('Aggregated expenditure (Core)'!T6*1000000/Population!V$2,0)</f>
        <v>1268.9411651995795</v>
      </c>
      <c r="U6" s="100">
        <f>IFERROR('Aggregated expenditure (Core)'!U6*1000000/Population!W$2,0)</f>
        <v>1231.4030462933135</v>
      </c>
      <c r="V6" s="100">
        <f>IFERROR('Aggregated expenditure (Core)'!V6*1000000/Population!X$2,0)</f>
        <v>966.65991310416246</v>
      </c>
      <c r="W6" s="100">
        <f>IFERROR('Aggregated expenditure (Core)'!W6*1000000/Population!Y$2,0)</f>
        <v>998.29478301169263</v>
      </c>
      <c r="X6" s="100">
        <f>IFERROR('Aggregated expenditure (Core)'!X6*1000000/Population!Z$2,0)</f>
        <v>899.52673665886959</v>
      </c>
      <c r="Y6" s="100">
        <f>IFERROR('Aggregated expenditure (Core)'!Y6*1000000/Population!AA$2,0)</f>
        <v>874.06776049435325</v>
      </c>
      <c r="Z6" s="100">
        <f>IFERROR('Aggregated expenditure (Core)'!Z6*1000000/Population!AB$2,0)</f>
        <v>859.99067454799786</v>
      </c>
      <c r="AA6" s="100">
        <f>IFERROR('Aggregated expenditure (Core)'!AA6*1000000/Population!AC$2,0)</f>
        <v>980.96250264666639</v>
      </c>
      <c r="AB6" s="100">
        <f>IFERROR('Aggregated expenditure (Core)'!AB6*1000000/Population!AD$2,0)</f>
        <v>909.9560613116812</v>
      </c>
      <c r="AC6" s="100">
        <f>IFERROR('Aggregated expenditure (Core)'!AC6*1000000/Population!AE$2,0)</f>
        <v>918.21400880845999</v>
      </c>
      <c r="AD6" s="100">
        <f>IFERROR('Aggregated expenditure (Core)'!AD6*1000000/Population!AF$2,0)</f>
        <v>915.13288393301673</v>
      </c>
    </row>
    <row r="7" spans="1:30" s="102" customFormat="1" x14ac:dyDescent="0.25">
      <c r="A7" s="99" t="str">
        <f>+'Aggregated expenditure (Core)'!A7</f>
        <v>Defence</v>
      </c>
      <c r="B7" s="100">
        <f>IFERROR('Aggregated expenditure (Core)'!B7*1000000/Population!D$2,0)</f>
        <v>328.36907228038746</v>
      </c>
      <c r="C7" s="100">
        <f>IFERROR('Aggregated expenditure (Core)'!C7*1000000/Population!E$2,0)</f>
        <v>289.77900552486187</v>
      </c>
      <c r="D7" s="100">
        <f>IFERROR('Aggregated expenditure (Core)'!D7*1000000/Population!F$2,0)</f>
        <v>275.76632003048945</v>
      </c>
      <c r="E7" s="100">
        <f>IFERROR('Aggregated expenditure (Core)'!E7*1000000/Population!G$2,0)</f>
        <v>259.91425509110394</v>
      </c>
      <c r="F7" s="100">
        <f>IFERROR('Aggregated expenditure (Core)'!F7*1000000/Population!H$2,0)</f>
        <v>250.17851003623093</v>
      </c>
      <c r="G7" s="100">
        <f>IFERROR('Aggregated expenditure (Core)'!G7*1000000/Population!I$2,0)</f>
        <v>279.16120576671034</v>
      </c>
      <c r="H7" s="100">
        <f>IFERROR('Aggregated expenditure (Core)'!H7*1000000/Population!J$2,0)</f>
        <v>268.5718755703893</v>
      </c>
      <c r="I7" s="100">
        <f>IFERROR('Aggregated expenditure (Core)'!I7*1000000/Population!K$2,0)</f>
        <v>323.24960468673044</v>
      </c>
      <c r="J7" s="100">
        <f>IFERROR('Aggregated expenditure (Core)'!J7*1000000/Population!L$2,0)</f>
        <v>320.06184770003864</v>
      </c>
      <c r="K7" s="100">
        <f>IFERROR('Aggregated expenditure (Core)'!K7*1000000/Population!M$2,0)</f>
        <v>294.28897049512472</v>
      </c>
      <c r="L7" s="100">
        <f>IFERROR('Aggregated expenditure (Core)'!L7*1000000/Population!N$2,0)</f>
        <v>297.72546682558601</v>
      </c>
      <c r="M7" s="100">
        <f>IFERROR('Aggregated expenditure (Core)'!M7*1000000/Population!O$2,0)</f>
        <v>320.73394495412845</v>
      </c>
      <c r="N7" s="100">
        <f>IFERROR('Aggregated expenditure (Core)'!N7*1000000/Population!P$2,0)</f>
        <v>308.42545780014029</v>
      </c>
      <c r="O7" s="100">
        <f>IFERROR('Aggregated expenditure (Core)'!O7*1000000/Population!Q$2,0)</f>
        <v>330.49516922643102</v>
      </c>
      <c r="P7" s="100">
        <f>IFERROR('Aggregated expenditure (Core)'!P7*1000000/Population!R$2,0)</f>
        <v>359.15016122693459</v>
      </c>
      <c r="Q7" s="100">
        <f>IFERROR('Aggregated expenditure (Core)'!Q7*1000000/Population!S$2,0)</f>
        <v>366.68818592640412</v>
      </c>
      <c r="R7" s="100">
        <f>IFERROR('Aggregated expenditure (Core)'!R7*1000000/Population!T$2,0)</f>
        <v>408.35868627965948</v>
      </c>
      <c r="S7" s="100">
        <f>IFERROR('Aggregated expenditure (Core)'!S7*1000000/Population!U$2,0)</f>
        <v>416.94727478756147</v>
      </c>
      <c r="T7" s="100">
        <f>IFERROR('Aggregated expenditure (Core)'!T7*1000000/Population!V$2,0)</f>
        <v>412.63968503434103</v>
      </c>
      <c r="U7" s="100">
        <f>IFERROR('Aggregated expenditure (Core)'!U7*1000000/Population!W$2,0)</f>
        <v>393.83118798179663</v>
      </c>
      <c r="V7" s="100">
        <f>IFERROR('Aggregated expenditure (Core)'!V7*1000000/Population!X$2,0)</f>
        <v>406.11422525382142</v>
      </c>
      <c r="W7" s="100">
        <f>IFERROR('Aggregated expenditure (Core)'!W7*1000000/Population!Y$2,0)</f>
        <v>401.57970947005225</v>
      </c>
      <c r="X7" s="100">
        <f>IFERROR('Aggregated expenditure (Core)'!X7*1000000/Population!Z$2,0)</f>
        <v>426.69858020997663</v>
      </c>
      <c r="Y7" s="100">
        <f>IFERROR('Aggregated expenditure (Core)'!Y7*1000000/Population!AA$2,0)</f>
        <v>431.7067973577669</v>
      </c>
      <c r="Z7" s="100">
        <f>IFERROR('Aggregated expenditure (Core)'!Z7*1000000/Population!AB$2,0)</f>
        <v>446.19987830912407</v>
      </c>
      <c r="AA7" s="100">
        <f>IFERROR('Aggregated expenditure (Core)'!AA7*1000000/Population!AC$2,0)</f>
        <v>464.99102702991604</v>
      </c>
      <c r="AB7" s="100">
        <f>IFERROR('Aggregated expenditure (Core)'!AB7*1000000/Population!AD$2,0)</f>
        <v>490.81742158867718</v>
      </c>
      <c r="AC7" s="100">
        <f>IFERROR('Aggregated expenditure (Core)'!AC7*1000000/Population!AE$2,0)</f>
        <v>501.97031341171959</v>
      </c>
      <c r="AD7" s="100">
        <f>IFERROR('Aggregated expenditure (Core)'!AD7*1000000/Population!AF$2,0)</f>
        <v>513.67562569642564</v>
      </c>
    </row>
    <row r="8" spans="1:30" s="102" customFormat="1" x14ac:dyDescent="0.25">
      <c r="A8" s="99" t="str">
        <f>+'Aggregated expenditure (Core)'!A8</f>
        <v>Education</v>
      </c>
      <c r="B8" s="100">
        <f>IFERROR('Aggregated expenditure (Core)'!B8*1000000/Population!D$2,0)</f>
        <v>1270.6455405632382</v>
      </c>
      <c r="C8" s="100">
        <f>IFERROR('Aggregated expenditure (Core)'!C8*1000000/Population!E$2,0)</f>
        <v>1278.1767955801106</v>
      </c>
      <c r="D8" s="100">
        <f>IFERROR('Aggregated expenditure (Core)'!D8*1000000/Population!F$2,0)</f>
        <v>1307.5080307072467</v>
      </c>
      <c r="E8" s="100">
        <f>IFERROR('Aggregated expenditure (Core)'!E8*1000000/Population!G$2,0)</f>
        <v>1326.0986066452303</v>
      </c>
      <c r="F8" s="100">
        <f>IFERROR('Aggregated expenditure (Core)'!F8*1000000/Population!H$2,0)</f>
        <v>1410.8904345066512</v>
      </c>
      <c r="G8" s="100">
        <f>IFERROR('Aggregated expenditure (Core)'!G8*1000000/Population!I$2,0)</f>
        <v>1497.7719528178243</v>
      </c>
      <c r="H8" s="100">
        <f>IFERROR('Aggregated expenditure (Core)'!H8*1000000/Population!J$2,0)</f>
        <v>1538.1606737764334</v>
      </c>
      <c r="I8" s="100">
        <f>IFERROR('Aggregated expenditure (Core)'!I8*1000000/Population!K$2,0)</f>
        <v>1635.6896596417555</v>
      </c>
      <c r="J8" s="100">
        <f>IFERROR('Aggregated expenditure (Core)'!J8*1000000/Population!L$2,0)</f>
        <v>1581.2395309882747</v>
      </c>
      <c r="K8" s="100">
        <f>IFERROR('Aggregated expenditure (Core)'!K8*1000000/Population!M$2,0)</f>
        <v>1639.3567177409143</v>
      </c>
      <c r="L8" s="100">
        <f>IFERROR('Aggregated expenditure (Core)'!L8*1000000/Population!N$2,0)</f>
        <v>1742.1533571712357</v>
      </c>
      <c r="M8" s="100">
        <f>IFERROR('Aggregated expenditure (Core)'!M8*1000000/Population!O$2,0)</f>
        <v>1855.65749235474</v>
      </c>
      <c r="N8" s="100">
        <f>IFERROR('Aggregated expenditure (Core)'!N8*1000000/Population!P$2,0)</f>
        <v>1918.285396356951</v>
      </c>
      <c r="O8" s="100">
        <f>IFERROR('Aggregated expenditure (Core)'!O8*1000000/Population!Q$2,0)</f>
        <v>2369.1461371734181</v>
      </c>
      <c r="P8" s="100">
        <f>IFERROR('Aggregated expenditure (Core)'!P8*1000000/Population!R$2,0)</f>
        <v>2194.4382626318106</v>
      </c>
      <c r="Q8" s="100">
        <f>IFERROR('Aggregated expenditure (Core)'!Q8*1000000/Population!S$2,0)</f>
        <v>2242.1503609366746</v>
      </c>
      <c r="R8" s="100">
        <f>IFERROR('Aggregated expenditure (Core)'!R8*1000000/Population!T$2,0)</f>
        <v>2662.3498869285709</v>
      </c>
      <c r="S8" s="100">
        <f>IFERROR('Aggregated expenditure (Core)'!S8*1000000/Population!U$2,0)</f>
        <v>2694.7573592113399</v>
      </c>
      <c r="T8" s="100">
        <f>IFERROR('Aggregated expenditure (Core)'!T8*1000000/Population!V$2,0)</f>
        <v>2657.4086957711847</v>
      </c>
      <c r="U8" s="100">
        <f>IFERROR('Aggregated expenditure (Core)'!U8*1000000/Population!W$2,0)</f>
        <v>2643.8413967395495</v>
      </c>
      <c r="V8" s="100">
        <f>IFERROR('Aggregated expenditure (Core)'!V8*1000000/Population!X$2,0)</f>
        <v>2814.8848517593028</v>
      </c>
      <c r="W8" s="100">
        <f>IFERROR('Aggregated expenditure (Core)'!W8*1000000/Population!Y$2,0)</f>
        <v>2727.4602023642424</v>
      </c>
      <c r="X8" s="100">
        <f>IFERROR('Aggregated expenditure (Core)'!X8*1000000/Population!Z$2,0)</f>
        <v>2802.3717565141706</v>
      </c>
      <c r="Y8" s="100">
        <f>IFERROR('Aggregated expenditure (Core)'!Y8*1000000/Population!AA$2,0)</f>
        <v>2803.7502663541445</v>
      </c>
      <c r="Z8" s="100">
        <f>IFERROR('Aggregated expenditure (Core)'!Z8*1000000/Population!AB$2,0)</f>
        <v>2796.7992372365716</v>
      </c>
      <c r="AA8" s="100">
        <f>IFERROR('Aggregated expenditure (Core)'!AA8*1000000/Population!AC$2,0)</f>
        <v>2831.8816924686666</v>
      </c>
      <c r="AB8" s="100">
        <f>IFERROR('Aggregated expenditure (Core)'!AB8*1000000/Population!AD$2,0)</f>
        <v>2947.1318363132</v>
      </c>
      <c r="AC8" s="100">
        <f>IFERROR('Aggregated expenditure (Core)'!AC8*1000000/Population!AE$2,0)</f>
        <v>3020.6143541128795</v>
      </c>
      <c r="AD8" s="100">
        <f>IFERROR('Aggregated expenditure (Core)'!AD8*1000000/Population!AF$2,0)</f>
        <v>3132.0383439097827</v>
      </c>
    </row>
    <row r="9" spans="1:30" s="102" customFormat="1" x14ac:dyDescent="0.25">
      <c r="A9" s="99" t="str">
        <f>+'Aggregated expenditure (Core)'!A9</f>
        <v>Finance costs</v>
      </c>
      <c r="B9" s="100">
        <f>IFERROR('Aggregated expenditure (Core)'!B9*1000000/Population!D$2,0)</f>
        <v>1108.8404904540619</v>
      </c>
      <c r="C9" s="100">
        <f>IFERROR('Aggregated expenditure (Core)'!C9*1000000/Population!E$2,0)</f>
        <v>1046.4088397790056</v>
      </c>
      <c r="D9" s="100">
        <f>IFERROR('Aggregated expenditure (Core)'!D9*1000000/Population!F$2,0)</f>
        <v>1022.7582076550335</v>
      </c>
      <c r="E9" s="100">
        <f>IFERROR('Aggregated expenditure (Core)'!E9*1000000/Population!G$2,0)</f>
        <v>992.2293676312969</v>
      </c>
      <c r="F9" s="100">
        <f>IFERROR('Aggregated expenditure (Core)'!F9*1000000/Population!H$2,0)</f>
        <v>812.41900933541376</v>
      </c>
      <c r="G9" s="100">
        <f>IFERROR('Aggregated expenditure (Core)'!G9*1000000/Population!I$2,0)</f>
        <v>734.99344692005241</v>
      </c>
      <c r="H9" s="100">
        <f>IFERROR('Aggregated expenditure (Core)'!H9*1000000/Population!J$2,0)</f>
        <v>656.04547469427132</v>
      </c>
      <c r="I9" s="100">
        <f>IFERROR('Aggregated expenditure (Core)'!I9*1000000/Population!K$2,0)</f>
        <v>615.13336962438757</v>
      </c>
      <c r="J9" s="100">
        <f>IFERROR('Aggregated expenditure (Core)'!J9*1000000/Population!L$2,0)</f>
        <v>593.73792037108615</v>
      </c>
      <c r="K9" s="100">
        <f>IFERROR('Aggregated expenditure (Core)'!K9*1000000/Population!M$2,0)</f>
        <v>536.40623021400529</v>
      </c>
      <c r="L9" s="100">
        <f>IFERROR('Aggregated expenditure (Core)'!L9*1000000/Population!N$2,0)</f>
        <v>586.01509733810087</v>
      </c>
      <c r="M9" s="100">
        <f>IFERROR('Aggregated expenditure (Core)'!M9*1000000/Population!O$2,0)</f>
        <v>550.94801223241586</v>
      </c>
      <c r="N9" s="100">
        <f>IFERROR('Aggregated expenditure (Core)'!N9*1000000/Population!P$2,0)</f>
        <v>550.08587532354431</v>
      </c>
      <c r="O9" s="100">
        <f>IFERROR('Aggregated expenditure (Core)'!O9*1000000/Population!Q$2,0)</f>
        <v>563.01273947756431</v>
      </c>
      <c r="P9" s="100">
        <f>IFERROR('Aggregated expenditure (Core)'!P9*1000000/Population!R$2,0)</f>
        <v>551.39138134313168</v>
      </c>
      <c r="Q9" s="100">
        <f>IFERROR('Aggregated expenditure (Core)'!Q9*1000000/Population!S$2,0)</f>
        <v>577.49867949997065</v>
      </c>
      <c r="R9" s="100">
        <f>IFERROR('Aggregated expenditure (Core)'!R9*1000000/Population!T$2,0)</f>
        <v>564.54368182885196</v>
      </c>
      <c r="S9" s="100">
        <f>IFERROR('Aggregated expenditure (Core)'!S9*1000000/Population!U$2,0)</f>
        <v>531.18255349176104</v>
      </c>
      <c r="T9" s="100">
        <f>IFERROR('Aggregated expenditure (Core)'!T9*1000000/Population!V$2,0)</f>
        <v>699.36609967677703</v>
      </c>
      <c r="U9" s="100">
        <f>IFERROR('Aggregated expenditure (Core)'!U9*1000000/Population!W$2,0)</f>
        <v>796.50996601617976</v>
      </c>
      <c r="V9" s="100">
        <f>IFERROR('Aggregated expenditure (Core)'!V9*1000000/Population!X$2,0)</f>
        <v>814.70475675919045</v>
      </c>
      <c r="W9" s="100">
        <f>IFERROR('Aggregated expenditure (Core)'!W9*1000000/Population!Y$2,0)</f>
        <v>802.71592947630552</v>
      </c>
      <c r="X9" s="100">
        <f>IFERROR('Aggregated expenditure (Core)'!X9*1000000/Population!Z$2,0)</f>
        <v>823.15182505575808</v>
      </c>
      <c r="Y9" s="100">
        <f>IFERROR('Aggregated expenditure (Core)'!Y9*1000000/Population!AA$2,0)</f>
        <v>764.96910291924144</v>
      </c>
      <c r="Z9" s="100">
        <f>IFERROR('Aggregated expenditure (Core)'!Z9*1000000/Population!AB$2,0)</f>
        <v>750.21797721327891</v>
      </c>
      <c r="AA9" s="100">
        <f>IFERROR('Aggregated expenditure (Core)'!AA9*1000000/Population!AC$2,0)</f>
        <v>718.04317303956532</v>
      </c>
      <c r="AB9" s="100">
        <f>IFERROR('Aggregated expenditure (Core)'!AB9*1000000/Population!AD$2,0)</f>
        <v>689.04772510984674</v>
      </c>
      <c r="AC9" s="100">
        <f>IFERROR('Aggregated expenditure (Core)'!AC9*1000000/Population!AE$2,0)</f>
        <v>731.77360179686184</v>
      </c>
      <c r="AD9" s="100">
        <f>IFERROR('Aggregated expenditure (Core)'!AD9*1000000/Population!AF$2,0)</f>
        <v>751.9420890002292</v>
      </c>
    </row>
    <row r="10" spans="1:30" s="102" customFormat="1" x14ac:dyDescent="0.25">
      <c r="A10" s="99" t="str">
        <f>+'Aggregated expenditure (Core)'!A10</f>
        <v>Health</v>
      </c>
      <c r="B10" s="100">
        <f>IFERROR('Aggregated expenditure (Core)'!B10*1000000/Population!D$2,0)</f>
        <v>1166.7879737976598</v>
      </c>
      <c r="C10" s="100">
        <f>IFERROR('Aggregated expenditure (Core)'!C10*1000000/Population!E$2,0)</f>
        <v>1271.2707182320441</v>
      </c>
      <c r="D10" s="100">
        <f>IFERROR('Aggregated expenditure (Core)'!D10*1000000/Population!F$2,0)</f>
        <v>1330.1029019437033</v>
      </c>
      <c r="E10" s="100">
        <f>IFERROR('Aggregated expenditure (Core)'!E10*1000000/Population!G$2,0)</f>
        <v>1400.8574490889603</v>
      </c>
      <c r="F10" s="100">
        <f>IFERROR('Aggregated expenditure (Core)'!F10*1000000/Population!H$2,0)</f>
        <v>1487.8480945706503</v>
      </c>
      <c r="G10" s="100">
        <f>IFERROR('Aggregated expenditure (Core)'!G10*1000000/Population!I$2,0)</f>
        <v>1573.0013106159895</v>
      </c>
      <c r="H10" s="100">
        <f>IFERROR('Aggregated expenditure (Core)'!H10*1000000/Population!J$2,0)</f>
        <v>1713.905765169096</v>
      </c>
      <c r="I10" s="100">
        <f>IFERROR('Aggregated expenditure (Core)'!I10*1000000/Population!K$2,0)</f>
        <v>1781.890763926692</v>
      </c>
      <c r="J10" s="100">
        <f>IFERROR('Aggregated expenditure (Core)'!J10*1000000/Population!L$2,0)</f>
        <v>1716.2736760726712</v>
      </c>
      <c r="K10" s="100">
        <f>IFERROR('Aggregated expenditure (Core)'!K10*1000000/Population!M$2,0)</f>
        <v>1780.9294668861594</v>
      </c>
      <c r="L10" s="100">
        <f>IFERROR('Aggregated expenditure (Core)'!L10*1000000/Population!N$2,0)</f>
        <v>1862.5844259038538</v>
      </c>
      <c r="M10" s="100">
        <f>IFERROR('Aggregated expenditure (Core)'!M10*1000000/Population!O$2,0)</f>
        <v>1984.34250764526</v>
      </c>
      <c r="N10" s="100">
        <f>IFERROR('Aggregated expenditure (Core)'!N10*1000000/Population!P$2,0)</f>
        <v>2131.8851447785382</v>
      </c>
      <c r="O10" s="100">
        <f>IFERROR('Aggregated expenditure (Core)'!O10*1000000/Population!Q$2,0)</f>
        <v>2281.4442376028464</v>
      </c>
      <c r="P10" s="100">
        <f>IFERROR('Aggregated expenditure (Core)'!P10*1000000/Population!R$2,0)</f>
        <v>2451.5490570236702</v>
      </c>
      <c r="Q10" s="100">
        <f>IFERROR('Aggregated expenditure (Core)'!Q10*1000000/Population!S$2,0)</f>
        <v>2652.0335700451906</v>
      </c>
      <c r="R10" s="100">
        <f>IFERROR('Aggregated expenditure (Core)'!R10*1000000/Population!T$2,0)</f>
        <v>2874.5476561791852</v>
      </c>
      <c r="S10" s="100">
        <f>IFERROR('Aggregated expenditure (Core)'!S10*1000000/Population!U$2,0)</f>
        <v>3017.4662753093203</v>
      </c>
      <c r="T10" s="100">
        <f>IFERROR('Aggregated expenditure (Core)'!T10*1000000/Population!V$2,0)</f>
        <v>3137.1108835142577</v>
      </c>
      <c r="U10" s="100">
        <f>IFERROR('Aggregated expenditure (Core)'!U10*1000000/Population!W$2,0)</f>
        <v>3212.3557729390786</v>
      </c>
      <c r="V10" s="100">
        <f>IFERROR('Aggregated expenditure (Core)'!V10*1000000/Population!X$2,0)</f>
        <v>3263.7716395398575</v>
      </c>
      <c r="W10" s="100">
        <f>IFERROR('Aggregated expenditure (Core)'!W10*1000000/Population!Y$2,0)</f>
        <v>3303.5530158392262</v>
      </c>
      <c r="X10" s="100">
        <f>IFERROR('Aggregated expenditure (Core)'!X10*1000000/Population!Z$2,0)</f>
        <v>3276.5054670075615</v>
      </c>
      <c r="Y10" s="100">
        <f>IFERROR('Aggregated expenditure (Core)'!Y10*1000000/Population!AA$2,0)</f>
        <v>3329.639889196676</v>
      </c>
      <c r="Z10" s="100">
        <f>IFERROR('Aggregated expenditure (Core)'!Z10*1000000/Population!AB$2,0)</f>
        <v>3372.2172621225654</v>
      </c>
      <c r="AA10" s="100">
        <f>IFERROR('Aggregated expenditure (Core)'!AA10*1000000/Population!AC$2,0)</f>
        <v>3464.4092743303163</v>
      </c>
      <c r="AB10" s="100">
        <f>IFERROR('Aggregated expenditure (Core)'!AB10*1000000/Population!AD$2,0)</f>
        <v>3587.1788122380385</v>
      </c>
      <c r="AC10" s="100">
        <f>IFERROR('Aggregated expenditure (Core)'!AC10*1000000/Population!AE$2,0)</f>
        <v>3660.8662984485281</v>
      </c>
      <c r="AD10" s="100">
        <f>IFERROR('Aggregated expenditure (Core)'!AD10*1000000/Population!AF$2,0)</f>
        <v>3729.8777452010841</v>
      </c>
    </row>
    <row r="11" spans="1:30" s="102" customFormat="1" x14ac:dyDescent="0.25">
      <c r="A11" s="99" t="str">
        <f>+'Aggregated expenditure (Core)'!A11</f>
        <v>Law and order</v>
      </c>
      <c r="B11" s="100">
        <f>IFERROR('Aggregated expenditure (Core)'!B11*1000000/Population!D$2,0)</f>
        <v>295.05626784614526</v>
      </c>
      <c r="C11" s="100">
        <f>IFERROR('Aggregated expenditure (Core)'!C11*1000000/Population!E$2,0)</f>
        <v>317.67955801104972</v>
      </c>
      <c r="D11" s="100">
        <f>IFERROR('Aggregated expenditure (Core)'!D11*1000000/Population!F$2,0)</f>
        <v>323.95056351064409</v>
      </c>
      <c r="E11" s="100">
        <f>IFERROR('Aggregated expenditure (Core)'!E11*1000000/Population!G$2,0)</f>
        <v>330.65380493033229</v>
      </c>
      <c r="F11" s="100">
        <f>IFERROR('Aggregated expenditure (Core)'!F11*1000000/Population!H$2,0)</f>
        <v>338.77237986935711</v>
      </c>
      <c r="G11" s="100">
        <f>IFERROR('Aggregated expenditure (Core)'!G11*1000000/Population!I$2,0)</f>
        <v>352.55570117955438</v>
      </c>
      <c r="H11" s="100">
        <f>IFERROR('Aggregated expenditure (Core)'!H11*1000000/Population!J$2,0)</f>
        <v>390.86334124273162</v>
      </c>
      <c r="I11" s="100">
        <f>IFERROR('Aggregated expenditure (Core)'!I11*1000000/Population!K$2,0)</f>
        <v>396.86860046141481</v>
      </c>
      <c r="J11" s="100">
        <f>IFERROR('Aggregated expenditure (Core)'!J11*1000000/Population!L$2,0)</f>
        <v>397.11377399819611</v>
      </c>
      <c r="K11" s="100">
        <f>IFERROR('Aggregated expenditure (Core)'!K11*1000000/Population!M$2,0)</f>
        <v>438.90084842345192</v>
      </c>
      <c r="L11" s="100">
        <f>IFERROR('Aggregated expenditure (Core)'!L11*1000000/Population!N$2,0)</f>
        <v>430.57210965435041</v>
      </c>
      <c r="M11" s="100">
        <f>IFERROR('Aggregated expenditure (Core)'!M11*1000000/Population!O$2,0)</f>
        <v>450.8868501529052</v>
      </c>
      <c r="N11" s="100">
        <f>IFERROR('Aggregated expenditure (Core)'!N11*1000000/Population!P$2,0)</f>
        <v>478.2408863300999</v>
      </c>
      <c r="O11" s="100">
        <f>IFERROR('Aggregated expenditure (Core)'!O11*1000000/Population!Q$2,0)</f>
        <v>534.09739929217164</v>
      </c>
      <c r="P11" s="100">
        <f>IFERROR('Aggregated expenditure (Core)'!P11*1000000/Population!R$2,0)</f>
        <v>638.98898164238403</v>
      </c>
      <c r="Q11" s="100">
        <f>IFERROR('Aggregated expenditure (Core)'!Q11*1000000/Population!S$2,0)</f>
        <v>679.38259287516871</v>
      </c>
      <c r="R11" s="100">
        <f>IFERROR('Aggregated expenditure (Core)'!R11*1000000/Population!T$2,0)</f>
        <v>717.9396596003802</v>
      </c>
      <c r="S11" s="100">
        <f>IFERROR('Aggregated expenditure (Core)'!S11*1000000/Population!U$2,0)</f>
        <v>733.45025019134982</v>
      </c>
      <c r="T11" s="100">
        <f>IFERROR('Aggregated expenditure (Core)'!T11*1000000/Population!V$2,0)</f>
        <v>771.44688490112844</v>
      </c>
      <c r="U11" s="100">
        <f>IFERROR('Aggregated expenditure (Core)'!U11*1000000/Population!W$2,0)</f>
        <v>772.00894740901731</v>
      </c>
      <c r="V11" s="100">
        <f>IFERROR('Aggregated expenditure (Core)'!V11*1000000/Population!X$2,0)</f>
        <v>778.01040048625646</v>
      </c>
      <c r="W11" s="100">
        <f>IFERROR('Aggregated expenditure (Core)'!W11*1000000/Population!Y$2,0)</f>
        <v>776.32830638026121</v>
      </c>
      <c r="X11" s="100">
        <f>IFERROR('Aggregated expenditure (Core)'!X11*1000000/Population!Z$2,0)</f>
        <v>764.83707773486378</v>
      </c>
      <c r="Y11" s="100">
        <f>IFERROR('Aggregated expenditure (Core)'!Y11*1000000/Population!AA$2,0)</f>
        <v>777.32793522267207</v>
      </c>
      <c r="Z11" s="100">
        <f>IFERROR('Aggregated expenditure (Core)'!Z11*1000000/Population!AB$2,0)</f>
        <v>829.46341014634265</v>
      </c>
      <c r="AA11" s="100">
        <f>IFERROR('Aggregated expenditure (Core)'!AA11*1000000/Population!AC$2,0)</f>
        <v>835.01041193435856</v>
      </c>
      <c r="AB11" s="100">
        <f>IFERROR('Aggregated expenditure (Core)'!AB11*1000000/Population!AD$2,0)</f>
        <v>869.05460951262478</v>
      </c>
      <c r="AC11" s="100">
        <f>IFERROR('Aggregated expenditure (Core)'!AC11*1000000/Population!AE$2,0)</f>
        <v>894.03470629141452</v>
      </c>
      <c r="AD11" s="100">
        <f>IFERROR('Aggregated expenditure (Core)'!AD11*1000000/Population!AF$2,0)</f>
        <v>922.44288322177351</v>
      </c>
    </row>
    <row r="12" spans="1:30" s="102" customFormat="1" x14ac:dyDescent="0.25">
      <c r="A12" s="99" t="str">
        <f>+'Aggregated expenditure (Core)'!A12</f>
        <v>Welfare</v>
      </c>
      <c r="B12" s="100">
        <f>IFERROR('Aggregated expenditure (Core)'!B12*1000000/Population!D$2,0)</f>
        <v>1934.368365110573</v>
      </c>
      <c r="C12" s="100">
        <f>IFERROR('Aggregated expenditure (Core)'!C12*1000000/Population!E$2,0)</f>
        <v>1802.509377209645</v>
      </c>
      <c r="D12" s="100">
        <f>IFERROR('Aggregated expenditure (Core)'!D12*1000000/Population!F$2,0)</f>
        <v>1848.1379376996849</v>
      </c>
      <c r="E12" s="100">
        <f>IFERROR('Aggregated expenditure (Core)'!E12*1000000/Population!G$2,0)</f>
        <v>1934.6485646169499</v>
      </c>
      <c r="F12" s="100">
        <f>IFERROR('Aggregated expenditure (Core)'!F12*1000000/Population!H$2,0)</f>
        <v>1992.3001082517574</v>
      </c>
      <c r="G12" s="100">
        <f>IFERROR('Aggregated expenditure (Core)'!G12*1000000/Population!I$2,0)</f>
        <v>1940.4980340760158</v>
      </c>
      <c r="H12" s="100">
        <f>IFERROR('Aggregated expenditure (Core)'!H12*1000000/Population!J$2,0)</f>
        <v>2042.9715000912622</v>
      </c>
      <c r="I12" s="100">
        <f>IFERROR('Aggregated expenditure (Core)'!I12*1000000/Population!K$2,0)</f>
        <v>2029.1883764937656</v>
      </c>
      <c r="J12" s="100">
        <f>IFERROR('Aggregated expenditure (Core)'!J12*1000000/Population!L$2,0)</f>
        <v>2044.5818837778636</v>
      </c>
      <c r="K12" s="100">
        <f>IFERROR('Aggregated expenditure (Core)'!K12*1000000/Population!M$2,0)</f>
        <v>2034.9499810054451</v>
      </c>
      <c r="L12" s="100">
        <f>IFERROR('Aggregated expenditure (Core)'!L12*1000000/Population!N$2,0)</f>
        <v>2052.2943980929676</v>
      </c>
      <c r="M12" s="100">
        <f>IFERROR('Aggregated expenditure (Core)'!M12*1000000/Population!O$2,0)</f>
        <v>2045.993883792049</v>
      </c>
      <c r="N12" s="100">
        <f>IFERROR('Aggregated expenditure (Core)'!N12*1000000/Population!P$2,0)</f>
        <v>2080.1180483320836</v>
      </c>
      <c r="O12" s="100">
        <f>IFERROR('Aggregated expenditure (Core)'!O12*1000000/Population!Q$2,0)</f>
        <v>2194.6982170466686</v>
      </c>
      <c r="P12" s="100">
        <f>IFERROR('Aggregated expenditure (Core)'!P12*1000000/Population!R$2,0)</f>
        <v>2357.5591994052834</v>
      </c>
      <c r="Q12" s="100">
        <f>IFERROR('Aggregated expenditure (Core)'!Q12*1000000/Population!S$2,0)</f>
        <v>2471.7412993720291</v>
      </c>
      <c r="R12" s="100">
        <f>IFERROR('Aggregated expenditure (Core)'!R12*1000000/Population!T$2,0)</f>
        <v>2704.8824080379491</v>
      </c>
      <c r="S12" s="100">
        <f>IFERROR('Aggregated expenditure (Core)'!S12*1000000/Population!U$2,0)</f>
        <v>2963.9113056149972</v>
      </c>
      <c r="T12" s="100">
        <f>IFERROR('Aggregated expenditure (Core)'!T12*1000000/Population!V$2,0)</f>
        <v>3005.2669156038933</v>
      </c>
      <c r="U12" s="100">
        <f>IFERROR('Aggregated expenditure (Core)'!U12*1000000/Population!W$2,0)</f>
        <v>2823.061810625275</v>
      </c>
      <c r="V12" s="100">
        <f>IFERROR('Aggregated expenditure (Core)'!V12*1000000/Population!X$2,0)</f>
        <v>2815.3350892595845</v>
      </c>
      <c r="W12" s="100">
        <f>IFERROR('Aggregated expenditure (Core)'!W12*1000000/Population!Y$2,0)</f>
        <v>2742.5388441334103</v>
      </c>
      <c r="X12" s="100">
        <f>IFERROR('Aggregated expenditure (Core)'!X12*1000000/Population!Z$2,0)</f>
        <v>2596.311809824294</v>
      </c>
      <c r="Y12" s="100">
        <f>IFERROR('Aggregated expenditure (Core)'!Y12*1000000/Population!AA$2,0)</f>
        <v>2517.366290219476</v>
      </c>
      <c r="Z12" s="100">
        <f>IFERROR('Aggregated expenditure (Core)'!Z12*1000000/Population!AB$2,0)</f>
        <v>2584.7811132415145</v>
      </c>
      <c r="AA12" s="100">
        <f>IFERROR('Aggregated expenditure (Core)'!AA12*1000000/Population!AC$2,0)</f>
        <v>2600.6195769033898</v>
      </c>
      <c r="AB12" s="100">
        <f>IFERROR('Aggregated expenditure (Core)'!AB12*1000000/Population!AD$2,0)</f>
        <v>2670.3383481482983</v>
      </c>
      <c r="AC12" s="100">
        <f>IFERROR('Aggregated expenditure (Core)'!AC12*1000000/Population!AE$2,0)</f>
        <v>2638.9410664471211</v>
      </c>
      <c r="AD12" s="100">
        <f>IFERROR('Aggregated expenditure (Core)'!AD12*1000000/Population!AF$2,0)</f>
        <v>2646.4173100783159</v>
      </c>
    </row>
    <row r="13" spans="1:30" s="102" customFormat="1" x14ac:dyDescent="0.25">
      <c r="A13" s="99" t="str">
        <f>+'Aggregated expenditure (Core)'!A13</f>
        <v>NZ super</v>
      </c>
      <c r="B13" s="100">
        <f>IFERROR('Aggregated expenditure (Core)'!B13*1000000/Population!D$2,0)</f>
        <v>1444.7817384670541</v>
      </c>
      <c r="C13" s="100">
        <f>IFERROR('Aggregated expenditure (Core)'!C13*1000000/Population!E$2,0)</f>
        <v>1368.4850979284765</v>
      </c>
      <c r="D13" s="100">
        <f>IFERROR('Aggregated expenditure (Core)'!D13*1000000/Population!F$2,0)</f>
        <v>1343.4556812908961</v>
      </c>
      <c r="E13" s="100">
        <f>IFERROR('Aggregated expenditure (Core)'!E13*1000000/Population!G$2,0)</f>
        <v>1345.0942006563619</v>
      </c>
      <c r="F13" s="100">
        <f>IFERROR('Aggregated expenditure (Core)'!F13*1000000/Population!H$2,0)</f>
        <v>1345.1764209842197</v>
      </c>
      <c r="G13" s="100">
        <f>IFERROR('Aggregated expenditure (Core)'!G13*1000000/Population!I$2,0)</f>
        <v>1338.4010484927917</v>
      </c>
      <c r="H13" s="100">
        <f>IFERROR('Aggregated expenditure (Core)'!H13*1000000/Population!J$2,0)</f>
        <v>1322.2601757450914</v>
      </c>
      <c r="I13" s="100">
        <f>IFERROR('Aggregated expenditure (Core)'!I13*1000000/Population!K$2,0)</f>
        <v>1313.7361640355653</v>
      </c>
      <c r="J13" s="100">
        <f>IFERROR('Aggregated expenditure (Core)'!J13*1000000/Population!L$2,0)</f>
        <v>1358.8455095992783</v>
      </c>
      <c r="K13" s="100">
        <f>IFERROR('Aggregated expenditure (Core)'!K13*1000000/Population!M$2,0)</f>
        <v>1380.2709889831581</v>
      </c>
      <c r="L13" s="100">
        <f>IFERROR('Aggregated expenditure (Core)'!L13*1000000/Population!N$2,0)</f>
        <v>1400.9733810091379</v>
      </c>
      <c r="M13" s="100">
        <f>IFERROR('Aggregated expenditure (Core)'!M13*1000000/Population!O$2,0)</f>
        <v>1440.7339449541284</v>
      </c>
      <c r="N13" s="100">
        <f>IFERROR('Aggregated expenditure (Core)'!N13*1000000/Population!P$2,0)</f>
        <v>1471.4918116064732</v>
      </c>
      <c r="O13" s="100">
        <f>IFERROR('Aggregated expenditure (Core)'!O13*1000000/Population!Q$2,0)</f>
        <v>1532.7519995794132</v>
      </c>
      <c r="P13" s="100">
        <f>IFERROR('Aggregated expenditure (Core)'!P13*1000000/Population!R$2,0)</f>
        <v>1612.2693460484013</v>
      </c>
      <c r="Q13" s="100">
        <f>IFERROR('Aggregated expenditure (Core)'!Q13*1000000/Population!S$2,0)</f>
        <v>1724.983860555197</v>
      </c>
      <c r="R13" s="100">
        <f>IFERROR('Aggregated expenditure (Core)'!R13*1000000/Population!T$2,0)</f>
        <v>1799.8461391859321</v>
      </c>
      <c r="S13" s="100">
        <f>IFERROR('Aggregated expenditure (Core)'!S13*1000000/Population!U$2,0)</f>
        <v>1905.4536427722626</v>
      </c>
      <c r="T13" s="100">
        <f>IFERROR('Aggregated expenditure (Core)'!T13*1000000/Population!V$2,0)</f>
        <v>2014.1561187690609</v>
      </c>
      <c r="U13" s="100">
        <f>IFERROR('Aggregated expenditure (Core)'!U13*1000000/Population!W$2,0)</f>
        <v>2174.2385401022689</v>
      </c>
      <c r="V13" s="100">
        <f>IFERROR('Aggregated expenditure (Core)'!V13*1000000/Population!X$2,0)</f>
        <v>2304.0904076900565</v>
      </c>
      <c r="W13" s="100">
        <f>IFERROR('Aggregated expenditure (Core)'!W13*1000000/Population!Y$2,0)</f>
        <v>2419.9002592195916</v>
      </c>
      <c r="X13" s="100">
        <f>IFERROR('Aggregated expenditure (Core)'!X13*1000000/Population!Z$2,0)</f>
        <v>2522.1128216286788</v>
      </c>
      <c r="Y13" s="100">
        <f>IFERROR('Aggregated expenditure (Core)'!Y13*1000000/Population!AA$2,0)</f>
        <v>2613.8930321755806</v>
      </c>
      <c r="Z13" s="100">
        <f>IFERROR('Aggregated expenditure (Core)'!Z13*1000000/Population!AB$2,0)</f>
        <v>2727.381074350616</v>
      </c>
      <c r="AA13" s="100">
        <f>IFERROR('Aggregated expenditure (Core)'!AA13*1000000/Population!AC$2,0)</f>
        <v>2810.2972283492409</v>
      </c>
      <c r="AB13" s="100">
        <f>IFERROR('Aggregated expenditure (Core)'!AB13*1000000/Population!AD$2,0)</f>
        <v>2907.0403142527384</v>
      </c>
      <c r="AC13" s="100">
        <f>IFERROR('Aggregated expenditure (Core)'!AC13*1000000/Population!AE$2,0)</f>
        <v>3030.2061435411288</v>
      </c>
      <c r="AD13" s="100">
        <f>IFERROR('Aggregated expenditure (Core)'!AD13*1000000/Population!AF$2,0)</f>
        <v>3146.065639842262</v>
      </c>
    </row>
    <row r="14" spans="1:30" s="102" customFormat="1" x14ac:dyDescent="0.25">
      <c r="A14" s="99" t="str">
        <f>+'Aggregated expenditure (Core)'!A14</f>
        <v>All other</v>
      </c>
      <c r="B14" s="100">
        <f>IFERROR('Aggregated expenditure (Core)'!B14*1000000/Population!D$2,0)</f>
        <v>839.53865964951569</v>
      </c>
      <c r="C14" s="100">
        <f>IFERROR('Aggregated expenditure (Core)'!C14*1000000/Population!E$2,0)</f>
        <v>337.29281767955803</v>
      </c>
      <c r="D14" s="100">
        <f>IFERROR('Aggregated expenditure (Core)'!D14*1000000/Population!F$2,0)</f>
        <v>459.24756356508954</v>
      </c>
      <c r="E14" s="100">
        <f>IFERROR('Aggregated expenditure (Core)'!E14*1000000/Population!G$2,0)</f>
        <v>496.78456591639872</v>
      </c>
      <c r="F14" s="100">
        <f>IFERROR('Aggregated expenditure (Core)'!F14*1000000/Population!H$2,0)</f>
        <v>636.28910692090017</v>
      </c>
      <c r="G14" s="100">
        <f>IFERROR('Aggregated expenditure (Core)'!G14*1000000/Population!I$2,0)</f>
        <v>841.67758846657932</v>
      </c>
      <c r="H14" s="100">
        <f>IFERROR('Aggregated expenditure (Core)'!H14*1000000/Population!J$2,0)</f>
        <v>963.99050872206726</v>
      </c>
      <c r="I14" s="100">
        <f>IFERROR('Aggregated expenditure (Core)'!I14*1000000/Population!K$2,0)</f>
        <v>837.28646602898095</v>
      </c>
      <c r="J14" s="100">
        <f>IFERROR('Aggregated expenditure (Core)'!J14*1000000/Population!L$2,0)</f>
        <v>982.0899368638062</v>
      </c>
      <c r="K14" s="100">
        <f>IFERROR('Aggregated expenditure (Core)'!K14*1000000/Population!M$2,0)</f>
        <v>1121.1852602254021</v>
      </c>
      <c r="L14" s="100">
        <f>IFERROR('Aggregated expenditure (Core)'!L14*1000000/Population!N$2,0)</f>
        <v>1005.6615017878427</v>
      </c>
      <c r="M14" s="100">
        <f>IFERROR('Aggregated expenditure (Core)'!M14*1000000/Population!O$2,0)</f>
        <v>1085.5045871559632</v>
      </c>
      <c r="N14" s="100">
        <f>IFERROR('Aggregated expenditure (Core)'!N14*1000000/Population!P$2,0)</f>
        <v>1300.7087737971408</v>
      </c>
      <c r="O14" s="100">
        <f>IFERROR('Aggregated expenditure (Core)'!O14*1000000/Population!Q$2,0)</f>
        <v>1381.2451757980991</v>
      </c>
      <c r="P14" s="100">
        <f>IFERROR('Aggregated expenditure (Core)'!P14*1000000/Population!R$2,0)</f>
        <v>1479.6891942441275</v>
      </c>
      <c r="Q14" s="100">
        <f>IFERROR('Aggregated expenditure (Core)'!Q14*1000000/Population!S$2,0)</f>
        <v>1874.5231527671813</v>
      </c>
      <c r="R14" s="100">
        <f>IFERROR('Aggregated expenditure (Core)'!R14*1000000/Population!T$2,0)</f>
        <v>1912.5689410331915</v>
      </c>
      <c r="S14" s="100">
        <f>IFERROR('Aggregated expenditure (Core)'!S14*1000000/Population!U$2,0)</f>
        <v>1766.6244509466358</v>
      </c>
      <c r="T14" s="100">
        <f>IFERROR('Aggregated expenditure (Core)'!T14*1000000/Population!V$2,0)</f>
        <v>2103.5727890473704</v>
      </c>
      <c r="U14" s="100">
        <f>IFERROR('Aggregated expenditure (Core)'!U14*1000000/Population!W$2,0)</f>
        <v>1623.419344007913</v>
      </c>
      <c r="V14" s="100">
        <f>IFERROR('Aggregated expenditure (Core)'!V14*1000000/Population!X$2,0)</f>
        <v>1663.6275635397672</v>
      </c>
      <c r="W14" s="100">
        <f>IFERROR('Aggregated expenditure (Core)'!W14*1000000/Population!Y$2,0)</f>
        <v>1675.059704769064</v>
      </c>
      <c r="X14" s="100">
        <f>IFERROR('Aggregated expenditure (Core)'!X14*1000000/Population!Z$2,0)</f>
        <v>1634.1184790295381</v>
      </c>
      <c r="Y14" s="100">
        <f>IFERROR('Aggregated expenditure (Core)'!Y14*1000000/Population!AA$2,0)</f>
        <v>1640.3153633070531</v>
      </c>
      <c r="Z14" s="100">
        <f>IFERROR('Aggregated expenditure (Core)'!Z14*1000000/Population!AB$2,0)</f>
        <v>1829.9631372827839</v>
      </c>
      <c r="AA14" s="100">
        <f>IFERROR('Aggregated expenditure (Core)'!AA14*1000000/Population!AC$2,0)</f>
        <v>1838.9963429750792</v>
      </c>
      <c r="AB14" s="100">
        <f>IFERROR('Aggregated expenditure (Core)'!AB14*1000000/Population!AD$2,0)</f>
        <v>1829.8337619211563</v>
      </c>
      <c r="AC14" s="100">
        <f>IFERROR('Aggregated expenditure (Core)'!AC14*1000000/Population!AE$2,0)</f>
        <v>1835.4288728848137</v>
      </c>
      <c r="AD14" s="100">
        <f>IFERROR('Aggregated expenditure (Core)'!AD14*1000000/Population!AF$2,0)</f>
        <v>1869.976845083334</v>
      </c>
    </row>
    <row r="15" spans="1:30" x14ac:dyDescent="0.25">
      <c r="A15" s="99" t="str">
        <f>+'Aggregated expenditure (Core)'!A15</f>
        <v>Total core Crown expenses excluding losses</v>
      </c>
      <c r="B15" s="100">
        <f>IFERROR('Aggregated expenditure (Core)'!B15*1000000/Population!D$2,0)</f>
        <v>8798.2195845697333</v>
      </c>
      <c r="C15" s="100">
        <f>IFERROR('Aggregated expenditure (Core)'!C15*1000000/Population!E$2,0)</f>
        <v>8187.5690607734805</v>
      </c>
      <c r="D15" s="100">
        <f>IFERROR('Aggregated expenditure (Core)'!D15*1000000/Population!F$2,0)</f>
        <v>8275.7118745576299</v>
      </c>
      <c r="E15" s="100">
        <f>IFERROR('Aggregated expenditure (Core)'!E15*1000000/Population!G$2,0)</f>
        <v>8505.6270096463031</v>
      </c>
      <c r="F15" s="100">
        <f>IFERROR('Aggregated expenditure (Core)'!F15*1000000/Population!H$2,0)</f>
        <v>8714.7277391373336</v>
      </c>
      <c r="G15" s="100">
        <f>IFERROR('Aggregated expenditure (Core)'!G15*1000000/Population!I$2,0)</f>
        <v>8967.4967234600263</v>
      </c>
      <c r="H15" s="100">
        <f>IFERROR('Aggregated expenditure (Core)'!H15*1000000/Population!J$2,0)</f>
        <v>9341.3470313681519</v>
      </c>
      <c r="I15" s="100">
        <f>IFERROR('Aggregated expenditure (Core)'!I15*1000000/Population!K$2,0)</f>
        <v>9376.3123104440474</v>
      </c>
      <c r="J15" s="100">
        <f>IFERROR('Aggregated expenditure (Core)'!J15*1000000/Population!L$2,0)</f>
        <v>9457.2864321608049</v>
      </c>
      <c r="K15" s="100">
        <f>IFERROR('Aggregated expenditure (Core)'!K15*1000000/Population!M$2,0)</f>
        <v>9616.309991135875</v>
      </c>
      <c r="L15" s="100">
        <f>IFERROR('Aggregated expenditure (Core)'!L15*1000000/Population!N$2,0)</f>
        <v>9906.8831942789038</v>
      </c>
      <c r="M15" s="100">
        <f>IFERROR('Aggregated expenditure (Core)'!M15*1000000/Population!O$2,0)</f>
        <v>10246.360856269113</v>
      </c>
      <c r="N15" s="100">
        <f>IFERROR('Aggregated expenditure (Core)'!N15*1000000/Population!P$2,0)</f>
        <v>10860.204649362588</v>
      </c>
      <c r="O15" s="100">
        <f>IFERROR('Aggregated expenditure (Core)'!O15*1000000/Population!Q$2,0)</f>
        <v>11785.988247467518</v>
      </c>
      <c r="P15" s="100">
        <f>IFERROR('Aggregated expenditure (Core)'!P15*1000000/Population!R$2,0)</f>
        <v>12785.224889082498</v>
      </c>
      <c r="Q15" s="100">
        <f>IFERROR('Aggregated expenditure (Core)'!Q15*1000000/Population!S$2,0)</f>
        <v>13380.362697341394</v>
      </c>
      <c r="R15" s="100">
        <f>IFERROR('Aggregated expenditure (Core)'!R15*1000000/Population!T$2,0)</f>
        <v>14875.22631717175</v>
      </c>
      <c r="S15" s="100">
        <f>IFERROR('Aggregated expenditure (Core)'!S15*1000000/Population!U$2,0)</f>
        <v>14713.365987307701</v>
      </c>
      <c r="T15" s="100">
        <f>IFERROR('Aggregated expenditure (Core)'!T15*1000000/Population!V$2,0)</f>
        <v>16069.909237517593</v>
      </c>
      <c r="U15" s="100">
        <f>IFERROR('Aggregated expenditure (Core)'!U15*1000000/Population!W$2,0)</f>
        <v>15670.670012114393</v>
      </c>
      <c r="V15" s="100">
        <f>IFERROR('Aggregated expenditure (Core)'!V15*1000000/Population!X$2,0)</f>
        <v>15827.198847391999</v>
      </c>
      <c r="W15" s="100">
        <f>IFERROR('Aggregated expenditure (Core)'!W15*1000000/Population!Y$2,0)</f>
        <v>15847.430754663847</v>
      </c>
      <c r="X15" s="100">
        <f>IFERROR('Aggregated expenditure (Core)'!X15*1000000/Population!Z$2,0)</f>
        <v>15745.634553663711</v>
      </c>
      <c r="Y15" s="100">
        <f>IFERROR('Aggregated expenditure (Core)'!Y15*1000000/Population!AA$2,0)</f>
        <v>15753.036437246963</v>
      </c>
      <c r="Z15" s="100">
        <f>IFERROR('Aggregated expenditure (Core)'!Z15*1000000/Population!AB$2,0)</f>
        <v>16197.013764450794</v>
      </c>
      <c r="AA15" s="100">
        <f>IFERROR('Aggregated expenditure (Core)'!AA15*1000000/Population!AC$2,0)</f>
        <v>16545.211229677199</v>
      </c>
      <c r="AB15" s="100">
        <f>IFERROR('Aggregated expenditure (Core)'!AB15*1000000/Population!AD$2,0)</f>
        <v>16900.39889039626</v>
      </c>
      <c r="AC15" s="100">
        <f>IFERROR('Aggregated expenditure (Core)'!AC15*1000000/Population!AE$2,0)</f>
        <v>17232.049365742929</v>
      </c>
      <c r="AD15" s="100">
        <f>IFERROR('Aggregated expenditure (Core)'!AD15*1000000/Population!AF$2,0)</f>
        <v>17627.569365966225</v>
      </c>
    </row>
    <row r="16" spans="1:30" x14ac:dyDescent="0.25">
      <c r="M16" s="103"/>
      <c r="N16" s="103"/>
      <c r="O16" s="103"/>
      <c r="P16" s="103"/>
      <c r="Q16" s="103"/>
      <c r="R16" s="103"/>
      <c r="S16" s="103"/>
      <c r="T16" s="103"/>
      <c r="U16" s="103"/>
      <c r="V16" s="103"/>
      <c r="W16" s="103"/>
      <c r="X16" s="103"/>
    </row>
    <row r="17" spans="1:25" x14ac:dyDescent="0.25">
      <c r="M17" s="103"/>
      <c r="N17" s="103"/>
      <c r="O17" s="103"/>
      <c r="P17" s="103"/>
      <c r="Q17" s="103"/>
      <c r="R17" s="103"/>
      <c r="S17" s="103"/>
      <c r="T17" s="103"/>
      <c r="U17" s="103"/>
      <c r="V17" s="103"/>
      <c r="W17" s="103"/>
      <c r="X17" s="103"/>
    </row>
    <row r="18" spans="1:25" x14ac:dyDescent="0.25">
      <c r="M18" s="103"/>
      <c r="N18" s="103"/>
      <c r="O18" s="103"/>
      <c r="P18" s="103"/>
      <c r="Q18" s="103"/>
      <c r="R18" s="103"/>
      <c r="S18" s="103"/>
      <c r="T18" s="103"/>
      <c r="U18" s="103"/>
      <c r="V18" s="103"/>
      <c r="W18" s="103"/>
      <c r="X18" s="103"/>
    </row>
    <row r="19" spans="1:25" x14ac:dyDescent="0.25">
      <c r="A19" s="104"/>
      <c r="M19" s="103"/>
      <c r="N19" s="103"/>
      <c r="O19" s="103"/>
      <c r="P19" s="103"/>
      <c r="Q19" s="103"/>
      <c r="R19" s="103"/>
      <c r="S19" s="103"/>
      <c r="T19" s="103"/>
      <c r="U19" s="103"/>
      <c r="V19" s="103"/>
      <c r="W19" s="103"/>
      <c r="X19" s="103"/>
    </row>
    <row r="20" spans="1:25" x14ac:dyDescent="0.25">
      <c r="M20" s="103"/>
      <c r="N20" s="103"/>
      <c r="O20" s="103"/>
      <c r="P20" s="103"/>
      <c r="Q20" s="103"/>
      <c r="R20" s="103"/>
      <c r="S20" s="103"/>
      <c r="T20" s="103"/>
      <c r="U20" s="103"/>
      <c r="V20" s="103"/>
      <c r="W20" s="103"/>
      <c r="X20" s="103"/>
    </row>
    <row r="22" spans="1:25" x14ac:dyDescent="0.25">
      <c r="A22" s="104"/>
      <c r="Q22" s="103"/>
    </row>
    <row r="23" spans="1:25" x14ac:dyDescent="0.25">
      <c r="A23" s="104"/>
      <c r="V23" s="103"/>
    </row>
    <row r="24" spans="1:25" x14ac:dyDescent="0.25">
      <c r="A24" s="104"/>
      <c r="N24" s="103"/>
      <c r="O24" s="103"/>
      <c r="P24" s="103"/>
      <c r="V24" s="103"/>
    </row>
    <row r="26" spans="1:25" x14ac:dyDescent="0.25">
      <c r="N26" s="103"/>
      <c r="O26" s="103"/>
      <c r="P26" s="103"/>
    </row>
    <row r="27" spans="1:25" x14ac:dyDescent="0.25">
      <c r="N27" s="103"/>
      <c r="O27" s="103"/>
      <c r="P27" s="103"/>
    </row>
    <row r="28" spans="1:25" x14ac:dyDescent="0.25">
      <c r="N28" s="103"/>
      <c r="O28" s="103"/>
      <c r="P28" s="103"/>
    </row>
    <row r="29" spans="1:25" x14ac:dyDescent="0.25">
      <c r="N29" s="103"/>
      <c r="O29" s="103"/>
      <c r="P29" s="103"/>
    </row>
    <row r="30" spans="1:25" x14ac:dyDescent="0.25">
      <c r="N30" s="103"/>
      <c r="O30" s="103"/>
      <c r="P30" s="103"/>
    </row>
    <row r="31" spans="1:25" x14ac:dyDescent="0.25">
      <c r="A31" s="86" t="s">
        <v>52</v>
      </c>
      <c r="N31" s="103"/>
      <c r="O31" s="103"/>
      <c r="P31" s="103"/>
    </row>
    <row r="32" spans="1:25" x14ac:dyDescent="0.25">
      <c r="A32" s="189" t="s">
        <v>0</v>
      </c>
      <c r="B32" s="88">
        <v>34121</v>
      </c>
      <c r="C32" s="89">
        <v>34486</v>
      </c>
      <c r="D32" s="89">
        <v>34851</v>
      </c>
      <c r="E32" s="89">
        <v>35217</v>
      </c>
      <c r="F32" s="89">
        <v>35582</v>
      </c>
      <c r="G32" s="89">
        <v>35947</v>
      </c>
      <c r="H32" s="89">
        <v>36312</v>
      </c>
      <c r="I32" s="89">
        <v>36678</v>
      </c>
      <c r="J32" s="89">
        <v>37043</v>
      </c>
      <c r="K32" s="89">
        <v>37408</v>
      </c>
      <c r="L32" s="89">
        <v>37773</v>
      </c>
      <c r="M32" s="89">
        <v>38139</v>
      </c>
      <c r="N32" s="89">
        <v>38504</v>
      </c>
      <c r="O32" s="89">
        <v>38869</v>
      </c>
      <c r="P32" s="89">
        <v>39234</v>
      </c>
      <c r="Q32" s="89">
        <v>39600</v>
      </c>
      <c r="R32" s="89">
        <v>39965</v>
      </c>
      <c r="S32" s="89">
        <v>40330</v>
      </c>
      <c r="T32" s="89">
        <v>40695</v>
      </c>
      <c r="U32" s="89">
        <v>41061</v>
      </c>
      <c r="V32" s="89">
        <v>41426</v>
      </c>
      <c r="W32" s="89">
        <v>41791</v>
      </c>
      <c r="X32" s="89">
        <v>42156</v>
      </c>
      <c r="Y32" s="89">
        <v>42522</v>
      </c>
    </row>
    <row r="33" spans="1:25" x14ac:dyDescent="0.25">
      <c r="A33" s="190"/>
      <c r="B33" s="92" t="s">
        <v>24</v>
      </c>
      <c r="C33" s="92" t="s">
        <v>24</v>
      </c>
      <c r="D33" s="92" t="s">
        <v>24</v>
      </c>
      <c r="E33" s="92" t="s">
        <v>24</v>
      </c>
      <c r="F33" s="92" t="s">
        <v>24</v>
      </c>
      <c r="G33" s="92" t="s">
        <v>24</v>
      </c>
      <c r="H33" s="92" t="s">
        <v>24</v>
      </c>
      <c r="I33" s="92" t="s">
        <v>24</v>
      </c>
      <c r="J33" s="92" t="s">
        <v>24</v>
      </c>
      <c r="K33" s="92" t="s">
        <v>24</v>
      </c>
      <c r="L33" s="92" t="s">
        <v>24</v>
      </c>
      <c r="M33" s="92" t="s">
        <v>24</v>
      </c>
      <c r="N33" s="92" t="s">
        <v>24</v>
      </c>
      <c r="O33" s="92" t="s">
        <v>24</v>
      </c>
      <c r="P33" s="92" t="s">
        <v>24</v>
      </c>
      <c r="Q33" s="92" t="s">
        <v>24</v>
      </c>
      <c r="R33" s="92" t="s">
        <v>24</v>
      </c>
      <c r="S33" s="92" t="s">
        <v>24</v>
      </c>
      <c r="T33" s="92" t="s">
        <v>24</v>
      </c>
      <c r="U33" s="92" t="s">
        <v>24</v>
      </c>
      <c r="V33" s="92" t="s">
        <v>24</v>
      </c>
      <c r="W33" s="92" t="s">
        <v>24</v>
      </c>
      <c r="X33" s="92" t="s">
        <v>24</v>
      </c>
      <c r="Y33" s="92" t="s">
        <v>24</v>
      </c>
    </row>
    <row r="34" spans="1:25" x14ac:dyDescent="0.25">
      <c r="A34" s="190"/>
      <c r="B34" s="92" t="s">
        <v>53</v>
      </c>
      <c r="C34" s="92" t="s">
        <v>53</v>
      </c>
      <c r="D34" s="92" t="s">
        <v>53</v>
      </c>
      <c r="E34" s="92" t="s">
        <v>53</v>
      </c>
      <c r="F34" s="92" t="s">
        <v>53</v>
      </c>
      <c r="G34" s="92" t="s">
        <v>53</v>
      </c>
      <c r="H34" s="92" t="s">
        <v>53</v>
      </c>
      <c r="I34" s="92" t="s">
        <v>53</v>
      </c>
      <c r="J34" s="92" t="s">
        <v>53</v>
      </c>
      <c r="K34" s="92" t="s">
        <v>53</v>
      </c>
      <c r="L34" s="92" t="s">
        <v>53</v>
      </c>
      <c r="M34" s="92" t="s">
        <v>53</v>
      </c>
      <c r="N34" s="92" t="s">
        <v>53</v>
      </c>
      <c r="O34" s="92" t="s">
        <v>53</v>
      </c>
      <c r="P34" s="92" t="s">
        <v>53</v>
      </c>
      <c r="Q34" s="92" t="s">
        <v>53</v>
      </c>
      <c r="R34" s="92" t="s">
        <v>53</v>
      </c>
      <c r="S34" s="92" t="s">
        <v>53</v>
      </c>
      <c r="T34" s="92" t="s">
        <v>53</v>
      </c>
      <c r="U34" s="92" t="s">
        <v>53</v>
      </c>
      <c r="V34" s="92" t="s">
        <v>53</v>
      </c>
      <c r="W34" s="92" t="s">
        <v>53</v>
      </c>
      <c r="X34" s="92" t="s">
        <v>53</v>
      </c>
      <c r="Y34" s="92" t="s">
        <v>53</v>
      </c>
    </row>
    <row r="35" spans="1:25" x14ac:dyDescent="0.25">
      <c r="A35" s="190"/>
      <c r="B35" s="92" t="s">
        <v>54</v>
      </c>
      <c r="C35" s="92" t="s">
        <v>54</v>
      </c>
      <c r="D35" s="92" t="s">
        <v>54</v>
      </c>
      <c r="E35" s="92" t="s">
        <v>54</v>
      </c>
      <c r="F35" s="92" t="s">
        <v>54</v>
      </c>
      <c r="G35" s="92" t="s">
        <v>54</v>
      </c>
      <c r="H35" s="92" t="s">
        <v>54</v>
      </c>
      <c r="I35" s="92" t="s">
        <v>54</v>
      </c>
      <c r="J35" s="92" t="s">
        <v>54</v>
      </c>
      <c r="K35" s="92" t="s">
        <v>54</v>
      </c>
      <c r="L35" s="92" t="s">
        <v>54</v>
      </c>
      <c r="M35" s="92" t="s">
        <v>54</v>
      </c>
      <c r="N35" s="92" t="s">
        <v>54</v>
      </c>
      <c r="O35" s="92" t="s">
        <v>54</v>
      </c>
      <c r="P35" s="92" t="s">
        <v>54</v>
      </c>
      <c r="Q35" s="92" t="s">
        <v>54</v>
      </c>
      <c r="R35" s="92" t="s">
        <v>54</v>
      </c>
      <c r="S35" s="92" t="s">
        <v>54</v>
      </c>
      <c r="T35" s="92" t="s">
        <v>54</v>
      </c>
      <c r="U35" s="92" t="s">
        <v>54</v>
      </c>
      <c r="V35" s="92" t="s">
        <v>54</v>
      </c>
      <c r="W35" s="92" t="s">
        <v>54</v>
      </c>
      <c r="X35" s="92" t="s">
        <v>54</v>
      </c>
      <c r="Y35" s="92" t="s">
        <v>54</v>
      </c>
    </row>
    <row r="36" spans="1:25" x14ac:dyDescent="0.25">
      <c r="A36" s="95" t="s">
        <v>26</v>
      </c>
      <c r="B36" s="96"/>
      <c r="C36" s="97"/>
      <c r="D36" s="97"/>
      <c r="E36" s="97"/>
      <c r="F36" s="97"/>
      <c r="G36" s="97"/>
      <c r="H36" s="97"/>
      <c r="I36" s="97"/>
      <c r="J36" s="97"/>
      <c r="K36" s="97"/>
      <c r="L36" s="97"/>
      <c r="M36" s="97"/>
      <c r="N36" s="97"/>
      <c r="O36" s="97"/>
      <c r="P36" s="97"/>
      <c r="Q36" s="97"/>
      <c r="R36" s="97"/>
      <c r="S36" s="97"/>
      <c r="T36" s="97"/>
      <c r="U36" s="97"/>
      <c r="V36" s="97"/>
      <c r="W36" s="97"/>
      <c r="X36" s="97"/>
      <c r="Y36" s="97"/>
    </row>
    <row r="37" spans="1:25" x14ac:dyDescent="0.25">
      <c r="A37" s="99" t="str">
        <f t="shared" ref="A37:A46" si="0">+A6</f>
        <v>Core govt services</v>
      </c>
      <c r="B37" s="105">
        <f t="shared" ref="B37:Y37" si="1">+B6/52.1429</f>
        <v>7.859775279109857</v>
      </c>
      <c r="C37" s="105">
        <f t="shared" si="1"/>
        <v>9.1281238831888771</v>
      </c>
      <c r="D37" s="105">
        <f t="shared" si="1"/>
        <v>6.9958645981493728</v>
      </c>
      <c r="E37" s="105">
        <f t="shared" si="1"/>
        <v>8.0422491857888172</v>
      </c>
      <c r="F37" s="105">
        <f t="shared" si="1"/>
        <v>8.4547210581335772</v>
      </c>
      <c r="G37" s="105">
        <f t="shared" si="1"/>
        <v>7.8521991512652454</v>
      </c>
      <c r="H37" s="105">
        <f t="shared" si="1"/>
        <v>8.5261409771380094</v>
      </c>
      <c r="I37" s="105">
        <f t="shared" si="1"/>
        <v>8.5010481876680188</v>
      </c>
      <c r="J37" s="105">
        <f t="shared" si="1"/>
        <v>8.8860104211616342</v>
      </c>
      <c r="K37" s="105">
        <f t="shared" si="1"/>
        <v>7.4798587566516916</v>
      </c>
      <c r="L37" s="105">
        <f t="shared" si="1"/>
        <v>10.143345623197566</v>
      </c>
      <c r="M37" s="105">
        <f t="shared" si="1"/>
        <v>9.8107246245897901</v>
      </c>
      <c r="N37" s="105">
        <f t="shared" si="1"/>
        <v>11.90887455507108</v>
      </c>
      <c r="O37" s="105">
        <f t="shared" si="1"/>
        <v>11.489525367229396</v>
      </c>
      <c r="P37" s="105">
        <f t="shared" si="1"/>
        <v>21.866626242820303</v>
      </c>
      <c r="Q37" s="105">
        <f t="shared" si="1"/>
        <v>15.176773738391569</v>
      </c>
      <c r="R37" s="105">
        <f t="shared" si="1"/>
        <v>23.592651312029624</v>
      </c>
      <c r="S37" s="105">
        <f t="shared" si="1"/>
        <v>13.109606005467169</v>
      </c>
      <c r="T37" s="105">
        <f t="shared" si="1"/>
        <v>24.335837960673064</v>
      </c>
      <c r="U37" s="105">
        <f t="shared" si="1"/>
        <v>23.615929422669502</v>
      </c>
      <c r="V37" s="105">
        <f t="shared" si="1"/>
        <v>18.538668027749942</v>
      </c>
      <c r="W37" s="105">
        <f t="shared" si="1"/>
        <v>19.145363664308903</v>
      </c>
      <c r="X37" s="105">
        <f t="shared" si="1"/>
        <v>17.251183510293245</v>
      </c>
      <c r="Y37" s="105">
        <f t="shared" si="1"/>
        <v>16.762929574196168</v>
      </c>
    </row>
    <row r="38" spans="1:25" x14ac:dyDescent="0.25">
      <c r="A38" s="99" t="str">
        <f t="shared" si="0"/>
        <v>Defence</v>
      </c>
      <c r="B38" s="105">
        <f t="shared" ref="B38:Y38" si="2">+B7/52.1429</f>
        <v>6.2974838814179392</v>
      </c>
      <c r="C38" s="105">
        <f t="shared" si="2"/>
        <v>5.5574010176814461</v>
      </c>
      <c r="D38" s="105">
        <f t="shared" si="2"/>
        <v>5.2886648044218765</v>
      </c>
      <c r="E38" s="105">
        <f t="shared" si="2"/>
        <v>4.9846528499777332</v>
      </c>
      <c r="F38" s="105">
        <f t="shared" si="2"/>
        <v>4.797940084579702</v>
      </c>
      <c r="G38" s="105">
        <f t="shared" si="2"/>
        <v>5.3537721485899397</v>
      </c>
      <c r="H38" s="105">
        <f t="shared" si="2"/>
        <v>5.1506892706464216</v>
      </c>
      <c r="I38" s="105">
        <f t="shared" si="2"/>
        <v>6.1993023918257411</v>
      </c>
      <c r="J38" s="105">
        <f t="shared" si="2"/>
        <v>6.1381673765755007</v>
      </c>
      <c r="K38" s="105">
        <f t="shared" si="2"/>
        <v>5.6438934254735491</v>
      </c>
      <c r="L38" s="105">
        <f t="shared" si="2"/>
        <v>5.709798780382104</v>
      </c>
      <c r="M38" s="105">
        <f t="shared" si="2"/>
        <v>6.1510569023611739</v>
      </c>
      <c r="N38" s="105">
        <f t="shared" si="2"/>
        <v>5.9150039180816627</v>
      </c>
      <c r="O38" s="105">
        <f t="shared" si="2"/>
        <v>6.3382583098836278</v>
      </c>
      <c r="P38" s="105">
        <f t="shared" si="2"/>
        <v>6.8878056499913622</v>
      </c>
      <c r="Q38" s="105">
        <f t="shared" si="2"/>
        <v>7.0323703884211302</v>
      </c>
      <c r="R38" s="105">
        <f t="shared" si="2"/>
        <v>7.8315300123249667</v>
      </c>
      <c r="S38" s="105">
        <f t="shared" si="2"/>
        <v>7.996242533260741</v>
      </c>
      <c r="T38" s="105">
        <f t="shared" si="2"/>
        <v>7.9136312908246582</v>
      </c>
      <c r="U38" s="105">
        <f t="shared" si="2"/>
        <v>7.5529206849215642</v>
      </c>
      <c r="V38" s="105">
        <f t="shared" si="2"/>
        <v>7.7884855896741731</v>
      </c>
      <c r="W38" s="105">
        <f t="shared" si="2"/>
        <v>7.7015223447497601</v>
      </c>
      <c r="X38" s="105">
        <f t="shared" si="2"/>
        <v>8.1832537164211558</v>
      </c>
      <c r="Y38" s="105">
        <f t="shared" si="2"/>
        <v>8.2793016375722654</v>
      </c>
    </row>
    <row r="39" spans="1:25" x14ac:dyDescent="0.25">
      <c r="A39" s="99" t="str">
        <f t="shared" si="0"/>
        <v>Education</v>
      </c>
      <c r="B39" s="105">
        <f t="shared" ref="B39:Y39" si="3">+B8/52.1429</f>
        <v>24.368524584617241</v>
      </c>
      <c r="C39" s="105">
        <f t="shared" si="3"/>
        <v>24.512959493624457</v>
      </c>
      <c r="D39" s="105">
        <f t="shared" si="3"/>
        <v>25.075475869336895</v>
      </c>
      <c r="E39" s="105">
        <f t="shared" si="3"/>
        <v>25.432007169628662</v>
      </c>
      <c r="F39" s="105">
        <f t="shared" si="3"/>
        <v>27.058150476990182</v>
      </c>
      <c r="G39" s="105">
        <f t="shared" si="3"/>
        <v>28.724370006613064</v>
      </c>
      <c r="H39" s="105">
        <f t="shared" si="3"/>
        <v>29.49894758013907</v>
      </c>
      <c r="I39" s="105">
        <f t="shared" si="3"/>
        <v>31.369364949815903</v>
      </c>
      <c r="J39" s="105">
        <f t="shared" si="3"/>
        <v>30.325116765432586</v>
      </c>
      <c r="K39" s="105">
        <f t="shared" si="3"/>
        <v>31.439692033640522</v>
      </c>
      <c r="L39" s="105">
        <f t="shared" si="3"/>
        <v>33.411132813311802</v>
      </c>
      <c r="M39" s="105">
        <f t="shared" si="3"/>
        <v>35.587922657825708</v>
      </c>
      <c r="N39" s="105">
        <f t="shared" si="3"/>
        <v>36.7890047610883</v>
      </c>
      <c r="O39" s="105">
        <f t="shared" si="3"/>
        <v>45.435641998688567</v>
      </c>
      <c r="P39" s="105">
        <f t="shared" si="3"/>
        <v>42.085082775062581</v>
      </c>
      <c r="Q39" s="105">
        <f t="shared" si="3"/>
        <v>43.000108565819595</v>
      </c>
      <c r="R39" s="105">
        <f t="shared" si="3"/>
        <v>51.058722988720824</v>
      </c>
      <c r="S39" s="105">
        <f t="shared" si="3"/>
        <v>51.680235644955303</v>
      </c>
      <c r="T39" s="105">
        <f t="shared" si="3"/>
        <v>50.96396049646615</v>
      </c>
      <c r="U39" s="105">
        <f t="shared" si="3"/>
        <v>50.703765934375525</v>
      </c>
      <c r="V39" s="105">
        <f t="shared" si="3"/>
        <v>53.984048676987719</v>
      </c>
      <c r="W39" s="105">
        <f t="shared" si="3"/>
        <v>52.307412943358393</v>
      </c>
      <c r="X39" s="105">
        <f t="shared" si="3"/>
        <v>53.744071705144336</v>
      </c>
      <c r="Y39" s="105">
        <f t="shared" si="3"/>
        <v>53.770508858428371</v>
      </c>
    </row>
    <row r="40" spans="1:25" x14ac:dyDescent="0.25">
      <c r="A40" s="99" t="str">
        <f t="shared" si="0"/>
        <v>Finance costs</v>
      </c>
      <c r="B40" s="105">
        <f t="shared" ref="B40:Y40" si="4">+B9/52.1429</f>
        <v>21.265416585077968</v>
      </c>
      <c r="C40" s="105">
        <f t="shared" si="4"/>
        <v>20.068098241160456</v>
      </c>
      <c r="D40" s="105">
        <f t="shared" si="4"/>
        <v>19.614524847199398</v>
      </c>
      <c r="E40" s="105">
        <f t="shared" si="4"/>
        <v>19.029040725224277</v>
      </c>
      <c r="F40" s="105">
        <f t="shared" si="4"/>
        <v>15.580625729205966</v>
      </c>
      <c r="G40" s="105">
        <f t="shared" si="4"/>
        <v>14.095753149902526</v>
      </c>
      <c r="H40" s="105">
        <f t="shared" si="4"/>
        <v>12.581683694122717</v>
      </c>
      <c r="I40" s="105">
        <f t="shared" si="4"/>
        <v>11.79706862534281</v>
      </c>
      <c r="J40" s="105">
        <f t="shared" si="4"/>
        <v>11.386745278284986</v>
      </c>
      <c r="K40" s="105">
        <f t="shared" si="4"/>
        <v>10.287234315966417</v>
      </c>
      <c r="L40" s="105">
        <f t="shared" si="4"/>
        <v>11.238636465139088</v>
      </c>
      <c r="M40" s="105">
        <f t="shared" si="4"/>
        <v>10.566117577511337</v>
      </c>
      <c r="N40" s="105">
        <f t="shared" si="4"/>
        <v>10.549583458602116</v>
      </c>
      <c r="O40" s="105">
        <f t="shared" si="4"/>
        <v>10.797495718066397</v>
      </c>
      <c r="P40" s="105">
        <f t="shared" si="4"/>
        <v>10.574620539769205</v>
      </c>
      <c r="Q40" s="105">
        <f t="shared" si="4"/>
        <v>11.07530803810242</v>
      </c>
      <c r="R40" s="105">
        <f t="shared" si="4"/>
        <v>10.82685623217834</v>
      </c>
      <c r="S40" s="105">
        <f t="shared" si="4"/>
        <v>10.187054296783668</v>
      </c>
      <c r="T40" s="105">
        <f t="shared" si="4"/>
        <v>13.412489517782422</v>
      </c>
      <c r="U40" s="105">
        <f t="shared" si="4"/>
        <v>15.275521039608073</v>
      </c>
      <c r="V40" s="105">
        <f t="shared" si="4"/>
        <v>15.624461945139041</v>
      </c>
      <c r="W40" s="105">
        <f t="shared" si="4"/>
        <v>15.394539419102228</v>
      </c>
      <c r="X40" s="105">
        <f t="shared" si="4"/>
        <v>15.786460382060801</v>
      </c>
      <c r="Y40" s="105">
        <f t="shared" si="4"/>
        <v>14.670628271907422</v>
      </c>
    </row>
    <row r="41" spans="1:25" x14ac:dyDescent="0.25">
      <c r="A41" s="99" t="str">
        <f t="shared" si="0"/>
        <v>Health</v>
      </c>
      <c r="B41" s="105">
        <f t="shared" ref="B41:Y41" si="5">+B10/52.1429</f>
        <v>22.376737270034077</v>
      </c>
      <c r="C41" s="105">
        <f t="shared" si="5"/>
        <v>24.380514283479521</v>
      </c>
      <c r="D41" s="105">
        <f t="shared" si="5"/>
        <v>25.508801810864057</v>
      </c>
      <c r="E41" s="105">
        <f t="shared" si="5"/>
        <v>26.86573721616865</v>
      </c>
      <c r="F41" s="105">
        <f t="shared" si="5"/>
        <v>28.534049593916919</v>
      </c>
      <c r="G41" s="105">
        <f t="shared" si="5"/>
        <v>30.167123627876272</v>
      </c>
      <c r="H41" s="105">
        <f t="shared" si="5"/>
        <v>32.869398617435856</v>
      </c>
      <c r="I41" s="105">
        <f t="shared" si="5"/>
        <v>34.173219439783594</v>
      </c>
      <c r="J41" s="105">
        <f t="shared" si="5"/>
        <v>32.91481057004254</v>
      </c>
      <c r="K41" s="105">
        <f t="shared" si="5"/>
        <v>34.154783621282277</v>
      </c>
      <c r="L41" s="105">
        <f t="shared" si="5"/>
        <v>35.720767849579786</v>
      </c>
      <c r="M41" s="105">
        <f t="shared" si="5"/>
        <v>38.055852429482442</v>
      </c>
      <c r="N41" s="105">
        <f t="shared" si="5"/>
        <v>40.885434925532302</v>
      </c>
      <c r="O41" s="105">
        <f t="shared" si="5"/>
        <v>43.753689142775841</v>
      </c>
      <c r="P41" s="105">
        <f t="shared" si="5"/>
        <v>47.015970669519156</v>
      </c>
      <c r="Q41" s="105">
        <f t="shared" si="5"/>
        <v>50.860875978228883</v>
      </c>
      <c r="R41" s="105">
        <f t="shared" si="5"/>
        <v>55.128265903491851</v>
      </c>
      <c r="S41" s="105">
        <f t="shared" si="5"/>
        <v>57.869168675108604</v>
      </c>
      <c r="T41" s="105">
        <f t="shared" si="5"/>
        <v>60.163720919132956</v>
      </c>
      <c r="U41" s="105">
        <f t="shared" si="5"/>
        <v>61.60677240696392</v>
      </c>
      <c r="V41" s="105">
        <f t="shared" si="5"/>
        <v>62.59282931213756</v>
      </c>
      <c r="W41" s="105">
        <f t="shared" si="5"/>
        <v>63.355759189443361</v>
      </c>
      <c r="X41" s="105">
        <f t="shared" si="5"/>
        <v>62.837039501208444</v>
      </c>
      <c r="Y41" s="105">
        <f t="shared" si="5"/>
        <v>63.856054979617092</v>
      </c>
    </row>
    <row r="42" spans="1:25" x14ac:dyDescent="0.25">
      <c r="A42" s="99" t="str">
        <f t="shared" si="0"/>
        <v>Law and order</v>
      </c>
      <c r="B42" s="105">
        <f t="shared" ref="B42:Y42" si="6">+B11/52.1429</f>
        <v>5.6586087050422069</v>
      </c>
      <c r="C42" s="105">
        <f t="shared" si="6"/>
        <v>6.0924796666669812</v>
      </c>
      <c r="D42" s="105">
        <f t="shared" si="6"/>
        <v>6.2127454267147417</v>
      </c>
      <c r="E42" s="105">
        <f t="shared" si="6"/>
        <v>6.3413006359510558</v>
      </c>
      <c r="F42" s="105">
        <f t="shared" si="6"/>
        <v>6.4969992054403791</v>
      </c>
      <c r="G42" s="105">
        <f t="shared" si="6"/>
        <v>6.7613366571394069</v>
      </c>
      <c r="H42" s="105">
        <f t="shared" si="6"/>
        <v>7.496003123008725</v>
      </c>
      <c r="I42" s="105">
        <f t="shared" si="6"/>
        <v>7.611172383227915</v>
      </c>
      <c r="J42" s="105">
        <f t="shared" si="6"/>
        <v>7.6158743376029356</v>
      </c>
      <c r="K42" s="105">
        <f t="shared" si="6"/>
        <v>8.4172696268034954</v>
      </c>
      <c r="L42" s="105">
        <f t="shared" si="6"/>
        <v>8.2575405214199904</v>
      </c>
      <c r="M42" s="105">
        <f t="shared" si="6"/>
        <v>8.6471379641888966</v>
      </c>
      <c r="N42" s="105">
        <f t="shared" si="6"/>
        <v>9.1717354870960364</v>
      </c>
      <c r="O42" s="105">
        <f t="shared" si="6"/>
        <v>10.242955403174193</v>
      </c>
      <c r="P42" s="105">
        <f t="shared" si="6"/>
        <v>12.254573137328075</v>
      </c>
      <c r="Q42" s="105">
        <f t="shared" si="6"/>
        <v>13.029244496857075</v>
      </c>
      <c r="R42" s="105">
        <f t="shared" si="6"/>
        <v>13.768694483820045</v>
      </c>
      <c r="S42" s="105">
        <f t="shared" si="6"/>
        <v>14.066157620526473</v>
      </c>
      <c r="T42" s="105">
        <f t="shared" si="6"/>
        <v>14.794859605068542</v>
      </c>
      <c r="U42" s="105">
        <f t="shared" si="6"/>
        <v>14.805638877182078</v>
      </c>
      <c r="V42" s="105">
        <f t="shared" si="6"/>
        <v>14.920735142967816</v>
      </c>
      <c r="W42" s="105">
        <f t="shared" si="6"/>
        <v>14.888475830463232</v>
      </c>
      <c r="X42" s="105">
        <f t="shared" si="6"/>
        <v>14.668096284151128</v>
      </c>
      <c r="Y42" s="105">
        <f t="shared" si="6"/>
        <v>14.907646778807319</v>
      </c>
    </row>
    <row r="43" spans="1:25" x14ac:dyDescent="0.25">
      <c r="A43" s="99" t="str">
        <f t="shared" si="0"/>
        <v>Welfare</v>
      </c>
      <c r="B43" s="105">
        <f t="shared" ref="B43:Y43" si="7">+B12/52.1429</f>
        <v>37.097445004220575</v>
      </c>
      <c r="C43" s="105">
        <f t="shared" si="7"/>
        <v>34.568644574997649</v>
      </c>
      <c r="D43" s="105">
        <f t="shared" si="7"/>
        <v>35.443712139134668</v>
      </c>
      <c r="E43" s="105">
        <f t="shared" si="7"/>
        <v>37.10281868896724</v>
      </c>
      <c r="F43" s="105">
        <f t="shared" si="7"/>
        <v>38.20846382252919</v>
      </c>
      <c r="G43" s="105">
        <f t="shared" si="7"/>
        <v>37.215000202827532</v>
      </c>
      <c r="H43" s="105">
        <f t="shared" si="7"/>
        <v>39.180243141276421</v>
      </c>
      <c r="I43" s="105">
        <f t="shared" si="7"/>
        <v>38.915909481324704</v>
      </c>
      <c r="J43" s="105">
        <f t="shared" si="7"/>
        <v>39.211127186594219</v>
      </c>
      <c r="K43" s="105">
        <f t="shared" si="7"/>
        <v>39.026405915387237</v>
      </c>
      <c r="L43" s="105">
        <f t="shared" si="7"/>
        <v>39.359038298463794</v>
      </c>
      <c r="M43" s="105">
        <f t="shared" si="7"/>
        <v>39.238206616663994</v>
      </c>
      <c r="N43" s="105">
        <f t="shared" si="7"/>
        <v>39.892642111046449</v>
      </c>
      <c r="O43" s="105">
        <f t="shared" si="7"/>
        <v>42.090068198099239</v>
      </c>
      <c r="P43" s="105">
        <f t="shared" si="7"/>
        <v>45.213426936462753</v>
      </c>
      <c r="Q43" s="105">
        <f t="shared" si="7"/>
        <v>47.403218834626173</v>
      </c>
      <c r="R43" s="105">
        <f t="shared" si="7"/>
        <v>51.874414503948749</v>
      </c>
      <c r="S43" s="105">
        <f t="shared" si="7"/>
        <v>56.842087908708521</v>
      </c>
      <c r="T43" s="105">
        <f t="shared" si="7"/>
        <v>57.635208544286826</v>
      </c>
      <c r="U43" s="105">
        <f t="shared" si="7"/>
        <v>54.140866937306427</v>
      </c>
      <c r="V43" s="105">
        <f t="shared" si="7"/>
        <v>53.992683361676946</v>
      </c>
      <c r="W43" s="105">
        <f t="shared" si="7"/>
        <v>52.596592136866391</v>
      </c>
      <c r="X43" s="105">
        <f t="shared" si="7"/>
        <v>49.792240359172467</v>
      </c>
      <c r="Y43" s="105">
        <f t="shared" si="7"/>
        <v>48.278217939920417</v>
      </c>
    </row>
    <row r="44" spans="1:25" x14ac:dyDescent="0.25">
      <c r="A44" s="99" t="str">
        <f t="shared" si="0"/>
        <v>NZ super</v>
      </c>
      <c r="B44" s="105">
        <f t="shared" ref="B44:Y44" si="8">+B13/52.1429</f>
        <v>27.708120155707761</v>
      </c>
      <c r="C44" s="105">
        <f t="shared" si="8"/>
        <v>26.244898115150416</v>
      </c>
      <c r="D44" s="105">
        <f t="shared" si="8"/>
        <v>25.764882300196117</v>
      </c>
      <c r="E44" s="105">
        <f t="shared" si="8"/>
        <v>25.796305933432201</v>
      </c>
      <c r="F44" s="105">
        <f t="shared" si="8"/>
        <v>25.797882760341672</v>
      </c>
      <c r="G44" s="105">
        <f t="shared" si="8"/>
        <v>25.667944216619937</v>
      </c>
      <c r="H44" s="105">
        <f t="shared" si="8"/>
        <v>25.358393486842722</v>
      </c>
      <c r="I44" s="105">
        <f t="shared" si="8"/>
        <v>25.194919424035973</v>
      </c>
      <c r="J44" s="105">
        <f t="shared" si="8"/>
        <v>26.06002944982497</v>
      </c>
      <c r="K44" s="105">
        <f t="shared" si="8"/>
        <v>26.470928716721897</v>
      </c>
      <c r="L44" s="105">
        <f t="shared" si="8"/>
        <v>26.867960566235059</v>
      </c>
      <c r="M44" s="105">
        <f t="shared" si="8"/>
        <v>27.630491302826051</v>
      </c>
      <c r="N44" s="105">
        <f t="shared" si="8"/>
        <v>28.220367712698629</v>
      </c>
      <c r="O44" s="105">
        <f t="shared" si="8"/>
        <v>29.395219667095873</v>
      </c>
      <c r="P44" s="105">
        <f t="shared" si="8"/>
        <v>30.920208619934858</v>
      </c>
      <c r="Q44" s="105">
        <f t="shared" si="8"/>
        <v>33.081855066657148</v>
      </c>
      <c r="R44" s="105">
        <f t="shared" si="8"/>
        <v>34.517568819262685</v>
      </c>
      <c r="S44" s="105">
        <f t="shared" si="8"/>
        <v>36.542916538440757</v>
      </c>
      <c r="T44" s="105">
        <f t="shared" si="8"/>
        <v>38.627619844102668</v>
      </c>
      <c r="U44" s="105">
        <f t="shared" si="8"/>
        <v>41.697691154543932</v>
      </c>
      <c r="V44" s="105">
        <f t="shared" si="8"/>
        <v>44.187998897070486</v>
      </c>
      <c r="W44" s="105">
        <f t="shared" si="8"/>
        <v>46.409007922834974</v>
      </c>
      <c r="X44" s="105">
        <f t="shared" si="8"/>
        <v>48.369247234593374</v>
      </c>
      <c r="Y44" s="105">
        <f t="shared" si="8"/>
        <v>50.129414209328225</v>
      </c>
    </row>
    <row r="45" spans="1:25" x14ac:dyDescent="0.25">
      <c r="A45" s="99" t="str">
        <f t="shared" si="0"/>
        <v>All other</v>
      </c>
      <c r="B45" s="105">
        <f t="shared" ref="B45:Y45" si="9">+B14/52.1429</f>
        <v>16.100728184460699</v>
      </c>
      <c r="C45" s="105">
        <f t="shared" si="9"/>
        <v>6.468624063478595</v>
      </c>
      <c r="D45" s="105">
        <f t="shared" si="9"/>
        <v>8.807480281401487</v>
      </c>
      <c r="E45" s="105">
        <f t="shared" si="9"/>
        <v>9.5273674060399163</v>
      </c>
      <c r="F45" s="105">
        <f t="shared" si="9"/>
        <v>12.202794760569516</v>
      </c>
      <c r="G45" s="105">
        <f t="shared" si="9"/>
        <v>16.141748703401216</v>
      </c>
      <c r="H45" s="105">
        <f t="shared" si="9"/>
        <v>18.487474013184293</v>
      </c>
      <c r="I45" s="105">
        <f t="shared" si="9"/>
        <v>16.057535465595144</v>
      </c>
      <c r="J45" s="105">
        <f t="shared" si="9"/>
        <v>18.834586048413232</v>
      </c>
      <c r="K45" s="105">
        <f t="shared" si="9"/>
        <v>21.502165399803275</v>
      </c>
      <c r="L45" s="105">
        <f t="shared" si="9"/>
        <v>19.286643086361572</v>
      </c>
      <c r="M45" s="105">
        <f t="shared" si="9"/>
        <v>20.817879081446627</v>
      </c>
      <c r="N45" s="105">
        <f t="shared" si="9"/>
        <v>24.945079268647138</v>
      </c>
      <c r="O45" s="105">
        <f t="shared" si="9"/>
        <v>26.489611736173078</v>
      </c>
      <c r="P45" s="105">
        <f t="shared" si="9"/>
        <v>28.377577661467384</v>
      </c>
      <c r="Q45" s="105">
        <f t="shared" si="9"/>
        <v>35.949729546442207</v>
      </c>
      <c r="R45" s="105">
        <f t="shared" si="9"/>
        <v>36.679374201150907</v>
      </c>
      <c r="S45" s="105">
        <f t="shared" si="9"/>
        <v>33.880441075326381</v>
      </c>
      <c r="T45" s="105">
        <f t="shared" si="9"/>
        <v>40.342458686558871</v>
      </c>
      <c r="U45" s="105">
        <f t="shared" si="9"/>
        <v>31.134044021485437</v>
      </c>
      <c r="V45" s="105">
        <f t="shared" si="9"/>
        <v>31.905159926658609</v>
      </c>
      <c r="W45" s="105">
        <f t="shared" si="9"/>
        <v>32.124406290579621</v>
      </c>
      <c r="X45" s="105">
        <f t="shared" si="9"/>
        <v>31.339232743662862</v>
      </c>
      <c r="Y45" s="105">
        <f t="shared" si="9"/>
        <v>31.458077001989786</v>
      </c>
    </row>
    <row r="46" spans="1:25" x14ac:dyDescent="0.25">
      <c r="A46" s="99" t="str">
        <f t="shared" si="0"/>
        <v>Total core Crown expenses excluding losses</v>
      </c>
      <c r="B46" s="105">
        <f t="shared" ref="B46:Y46" si="10">+B15/52.1429</f>
        <v>168.73283964968834</v>
      </c>
      <c r="C46" s="105">
        <f t="shared" si="10"/>
        <v>157.02174333942838</v>
      </c>
      <c r="D46" s="105">
        <f t="shared" si="10"/>
        <v>158.71215207741861</v>
      </c>
      <c r="E46" s="105">
        <f t="shared" si="10"/>
        <v>163.12147981117857</v>
      </c>
      <c r="F46" s="105">
        <f t="shared" si="10"/>
        <v>167.13162749170709</v>
      </c>
      <c r="G46" s="105">
        <f t="shared" si="10"/>
        <v>171.97924786423513</v>
      </c>
      <c r="H46" s="105">
        <f t="shared" si="10"/>
        <v>179.14897390379423</v>
      </c>
      <c r="I46" s="105">
        <f t="shared" si="10"/>
        <v>179.8195403486198</v>
      </c>
      <c r="J46" s="105">
        <f t="shared" si="10"/>
        <v>181.37246743393263</v>
      </c>
      <c r="K46" s="105">
        <f t="shared" si="10"/>
        <v>184.42223181173037</v>
      </c>
      <c r="L46" s="105">
        <f t="shared" si="10"/>
        <v>189.99486400409077</v>
      </c>
      <c r="M46" s="105">
        <f t="shared" si="10"/>
        <v>196.50538915689603</v>
      </c>
      <c r="N46" s="105">
        <f t="shared" si="10"/>
        <v>208.27772619786373</v>
      </c>
      <c r="O46" s="105">
        <f t="shared" si="10"/>
        <v>226.03246554118621</v>
      </c>
      <c r="P46" s="105">
        <f t="shared" si="10"/>
        <v>245.19589223235567</v>
      </c>
      <c r="Q46" s="105">
        <f t="shared" si="10"/>
        <v>256.60948465354619</v>
      </c>
      <c r="R46" s="105">
        <f t="shared" si="10"/>
        <v>285.27807845692797</v>
      </c>
      <c r="S46" s="105">
        <f t="shared" si="10"/>
        <v>282.1739102985776</v>
      </c>
      <c r="T46" s="105">
        <f t="shared" si="10"/>
        <v>308.18978686489618</v>
      </c>
      <c r="U46" s="105">
        <f t="shared" si="10"/>
        <v>300.53315047905647</v>
      </c>
      <c r="V46" s="105">
        <f t="shared" si="10"/>
        <v>303.53507088006228</v>
      </c>
      <c r="W46" s="105">
        <f t="shared" si="10"/>
        <v>303.92307974170689</v>
      </c>
      <c r="X46" s="105">
        <f t="shared" si="10"/>
        <v>301.9708254367078</v>
      </c>
      <c r="Y46" s="105">
        <f t="shared" si="10"/>
        <v>302.11277925176705</v>
      </c>
    </row>
    <row r="47" spans="1:25" x14ac:dyDescent="0.2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row>
    <row r="49" spans="1:25" x14ac:dyDescent="0.25">
      <c r="A49" s="86" t="s">
        <v>55</v>
      </c>
      <c r="N49" s="103"/>
      <c r="O49" s="103"/>
      <c r="P49" s="103"/>
    </row>
    <row r="50" spans="1:25" x14ac:dyDescent="0.25">
      <c r="A50" s="189" t="s">
        <v>0</v>
      </c>
      <c r="B50" s="88">
        <v>34121</v>
      </c>
      <c r="C50" s="89">
        <v>34486</v>
      </c>
      <c r="D50" s="89">
        <v>34851</v>
      </c>
      <c r="E50" s="89">
        <v>35217</v>
      </c>
      <c r="F50" s="89">
        <v>35582</v>
      </c>
      <c r="G50" s="89">
        <v>35947</v>
      </c>
      <c r="H50" s="89">
        <v>36312</v>
      </c>
      <c r="I50" s="89">
        <v>36678</v>
      </c>
      <c r="J50" s="89">
        <v>37043</v>
      </c>
      <c r="K50" s="89">
        <v>37408</v>
      </c>
      <c r="L50" s="89">
        <v>37773</v>
      </c>
      <c r="M50" s="89">
        <v>38139</v>
      </c>
      <c r="N50" s="89">
        <v>38504</v>
      </c>
      <c r="O50" s="89">
        <v>38869</v>
      </c>
      <c r="P50" s="89">
        <v>39234</v>
      </c>
      <c r="Q50" s="89">
        <v>39600</v>
      </c>
      <c r="R50" s="89">
        <v>39965</v>
      </c>
      <c r="S50" s="89">
        <v>40330</v>
      </c>
      <c r="T50" s="89">
        <v>40695</v>
      </c>
      <c r="U50" s="89">
        <v>41061</v>
      </c>
      <c r="V50" s="89">
        <v>41426</v>
      </c>
      <c r="W50" s="89">
        <v>41791</v>
      </c>
      <c r="X50" s="89">
        <v>42156</v>
      </c>
      <c r="Y50" s="90">
        <v>42522</v>
      </c>
    </row>
    <row r="51" spans="1:25" x14ac:dyDescent="0.25">
      <c r="A51" s="190"/>
      <c r="B51" s="92" t="s">
        <v>56</v>
      </c>
      <c r="C51" s="92" t="s">
        <v>56</v>
      </c>
      <c r="D51" s="92" t="s">
        <v>56</v>
      </c>
      <c r="E51" s="92" t="s">
        <v>56</v>
      </c>
      <c r="F51" s="92" t="s">
        <v>56</v>
      </c>
      <c r="G51" s="92" t="s">
        <v>56</v>
      </c>
      <c r="H51" s="92" t="s">
        <v>56</v>
      </c>
      <c r="I51" s="92" t="s">
        <v>56</v>
      </c>
      <c r="J51" s="92" t="s">
        <v>56</v>
      </c>
      <c r="K51" s="92" t="s">
        <v>56</v>
      </c>
      <c r="L51" s="92" t="s">
        <v>56</v>
      </c>
      <c r="M51" s="92" t="s">
        <v>56</v>
      </c>
      <c r="N51" s="92" t="s">
        <v>56</v>
      </c>
      <c r="O51" s="92" t="s">
        <v>56</v>
      </c>
      <c r="P51" s="92" t="s">
        <v>56</v>
      </c>
      <c r="Q51" s="92" t="s">
        <v>56</v>
      </c>
      <c r="R51" s="92" t="s">
        <v>56</v>
      </c>
      <c r="S51" s="92" t="s">
        <v>56</v>
      </c>
      <c r="T51" s="92" t="s">
        <v>56</v>
      </c>
      <c r="U51" s="92" t="s">
        <v>56</v>
      </c>
      <c r="V51" s="92" t="s">
        <v>56</v>
      </c>
      <c r="W51" s="92" t="s">
        <v>56</v>
      </c>
      <c r="X51" s="92" t="s">
        <v>56</v>
      </c>
    </row>
    <row r="52" spans="1:25" ht="30" x14ac:dyDescent="0.25">
      <c r="A52" s="190"/>
      <c r="B52" s="110" t="s">
        <v>57</v>
      </c>
      <c r="C52" s="110" t="s">
        <v>57</v>
      </c>
      <c r="D52" s="110" t="s">
        <v>57</v>
      </c>
      <c r="E52" s="110" t="s">
        <v>57</v>
      </c>
      <c r="F52" s="110" t="s">
        <v>57</v>
      </c>
      <c r="G52" s="110" t="s">
        <v>57</v>
      </c>
      <c r="H52" s="110" t="s">
        <v>57</v>
      </c>
      <c r="I52" s="110" t="s">
        <v>57</v>
      </c>
      <c r="J52" s="110" t="s">
        <v>57</v>
      </c>
      <c r="K52" s="110" t="s">
        <v>57</v>
      </c>
      <c r="L52" s="110" t="s">
        <v>57</v>
      </c>
      <c r="M52" s="110" t="s">
        <v>57</v>
      </c>
      <c r="N52" s="110" t="s">
        <v>57</v>
      </c>
      <c r="O52" s="110" t="s">
        <v>57</v>
      </c>
      <c r="P52" s="110" t="s">
        <v>57</v>
      </c>
      <c r="Q52" s="110" t="s">
        <v>57</v>
      </c>
      <c r="R52" s="110" t="s">
        <v>57</v>
      </c>
      <c r="S52" s="110" t="s">
        <v>57</v>
      </c>
      <c r="T52" s="110" t="s">
        <v>57</v>
      </c>
      <c r="U52" s="110" t="s">
        <v>57</v>
      </c>
      <c r="V52" s="110" t="s">
        <v>57</v>
      </c>
      <c r="W52" s="110" t="s">
        <v>57</v>
      </c>
      <c r="X52" s="110" t="s">
        <v>57</v>
      </c>
    </row>
    <row r="53" spans="1:25" x14ac:dyDescent="0.25">
      <c r="A53" s="95" t="s">
        <v>26</v>
      </c>
      <c r="B53" s="96"/>
      <c r="C53" s="97"/>
      <c r="D53" s="97"/>
      <c r="E53" s="97"/>
      <c r="F53" s="97"/>
      <c r="G53" s="97"/>
      <c r="H53" s="97"/>
      <c r="I53" s="97"/>
      <c r="J53" s="97"/>
      <c r="K53" s="97"/>
      <c r="L53" s="97"/>
      <c r="M53" s="97"/>
      <c r="N53" s="97"/>
      <c r="O53" s="97"/>
      <c r="P53" s="97"/>
      <c r="Q53" s="97"/>
      <c r="R53" s="97"/>
      <c r="S53" s="97"/>
      <c r="T53" s="97"/>
      <c r="U53" s="97"/>
      <c r="V53" s="97"/>
      <c r="W53" s="97"/>
      <c r="X53" s="97"/>
      <c r="Y53" s="98"/>
    </row>
    <row r="54" spans="1:25" x14ac:dyDescent="0.25">
      <c r="A54" s="99" t="str">
        <f>+A37</f>
        <v>Core govt services</v>
      </c>
      <c r="B54" s="106">
        <f>+B37/B$46</f>
        <v>4.6581182983868395E-2</v>
      </c>
      <c r="C54" s="106">
        <f t="shared" ref="C54:Y63" si="11">+C37/C$46</f>
        <v>5.8132865481291547E-2</v>
      </c>
      <c r="D54" s="106">
        <f t="shared" si="11"/>
        <v>4.4078947368421051E-2</v>
      </c>
      <c r="E54" s="106">
        <f t="shared" si="11"/>
        <v>4.9302208360898457E-2</v>
      </c>
      <c r="F54" s="106">
        <f t="shared" si="11"/>
        <v>5.0587199951446005E-2</v>
      </c>
      <c r="G54" s="106">
        <f t="shared" si="11"/>
        <v>4.5657829353132041E-2</v>
      </c>
      <c r="H54" s="106">
        <f t="shared" si="11"/>
        <v>4.759246336357293E-2</v>
      </c>
      <c r="I54" s="106">
        <f t="shared" si="11"/>
        <v>4.7275441652152285E-2</v>
      </c>
      <c r="J54" s="106">
        <f t="shared" si="11"/>
        <v>4.8993160576582463E-2</v>
      </c>
      <c r="K54" s="106">
        <f t="shared" si="11"/>
        <v>4.0558335528048453E-2</v>
      </c>
      <c r="L54" s="106">
        <f t="shared" si="11"/>
        <v>5.3387472742311447E-2</v>
      </c>
      <c r="M54" s="106">
        <f t="shared" si="11"/>
        <v>4.9925982522324629E-2</v>
      </c>
      <c r="N54" s="106">
        <f t="shared" si="11"/>
        <v>5.7177859449827367E-2</v>
      </c>
      <c r="O54" s="106">
        <f t="shared" si="11"/>
        <v>5.0831305758313051E-2</v>
      </c>
      <c r="P54" s="106">
        <f t="shared" si="11"/>
        <v>8.9180230727922513E-2</v>
      </c>
      <c r="Q54" s="106">
        <f t="shared" si="11"/>
        <v>5.9143463691071464E-2</v>
      </c>
      <c r="R54" s="106">
        <f t="shared" si="11"/>
        <v>8.2700540608106013E-2</v>
      </c>
      <c r="S54" s="106">
        <f t="shared" si="11"/>
        <v>4.6459312952056624E-2</v>
      </c>
      <c r="T54" s="106">
        <f t="shared" si="11"/>
        <v>7.8963804116394601E-2</v>
      </c>
      <c r="U54" s="106">
        <f t="shared" si="11"/>
        <v>7.8580114656320574E-2</v>
      </c>
      <c r="V54" s="106">
        <f t="shared" si="11"/>
        <v>6.1075868346940516E-2</v>
      </c>
      <c r="W54" s="106">
        <f t="shared" si="11"/>
        <v>6.2994109169266926E-2</v>
      </c>
      <c r="X54" s="106">
        <f t="shared" si="11"/>
        <v>5.7128643091082461E-2</v>
      </c>
      <c r="Y54" s="106">
        <f t="shared" si="11"/>
        <v>5.5485668682113923E-2</v>
      </c>
    </row>
    <row r="55" spans="1:25" x14ac:dyDescent="0.25">
      <c r="A55" s="99" t="str">
        <f t="shared" ref="A55:A63" si="12">+A38</f>
        <v>Defence</v>
      </c>
      <c r="B55" s="106">
        <f t="shared" ref="B55:Q63" si="13">+B38/B$46</f>
        <v>3.7322218333386357E-2</v>
      </c>
      <c r="C55" s="106">
        <f t="shared" si="13"/>
        <v>3.5392557103815919E-2</v>
      </c>
      <c r="D55" s="106">
        <f t="shared" si="13"/>
        <v>3.3322368421052628E-2</v>
      </c>
      <c r="E55" s="106">
        <f t="shared" si="13"/>
        <v>3.0557918281195848E-2</v>
      </c>
      <c r="F55" s="106">
        <f t="shared" si="13"/>
        <v>2.8707553181804391E-2</v>
      </c>
      <c r="G55" s="106">
        <f t="shared" si="13"/>
        <v>3.1130338195317298E-2</v>
      </c>
      <c r="H55" s="106">
        <f t="shared" si="13"/>
        <v>2.8750872295882763E-2</v>
      </c>
      <c r="I55" s="106">
        <f t="shared" si="13"/>
        <v>3.4475132011832679E-2</v>
      </c>
      <c r="J55" s="106">
        <f t="shared" si="13"/>
        <v>3.3842884002288888E-2</v>
      </c>
      <c r="K55" s="106">
        <f t="shared" si="13"/>
        <v>3.060310771661838E-2</v>
      </c>
      <c r="L55" s="106">
        <f t="shared" si="13"/>
        <v>3.0052384891094564E-2</v>
      </c>
      <c r="M55" s="106">
        <f t="shared" si="13"/>
        <v>3.1302230074972542E-2</v>
      </c>
      <c r="N55" s="106">
        <f t="shared" si="13"/>
        <v>2.8399599064483794E-2</v>
      </c>
      <c r="O55" s="106">
        <f t="shared" si="13"/>
        <v>2.8041362530413623E-2</v>
      </c>
      <c r="P55" s="106">
        <f t="shared" si="13"/>
        <v>2.809103197970483E-2</v>
      </c>
      <c r="Q55" s="106">
        <f t="shared" si="13"/>
        <v>2.7404951137779181E-2</v>
      </c>
      <c r="R55" s="106">
        <f t="shared" si="11"/>
        <v>2.745226711665261E-2</v>
      </c>
      <c r="S55" s="106">
        <f t="shared" si="11"/>
        <v>2.8337993845000239E-2</v>
      </c>
      <c r="T55" s="106">
        <f t="shared" si="11"/>
        <v>2.5677785663591197E-2</v>
      </c>
      <c r="U55" s="106">
        <f t="shared" si="11"/>
        <v>2.5131738954195376E-2</v>
      </c>
      <c r="V55" s="106">
        <f t="shared" si="11"/>
        <v>2.5659260945011808E-2</v>
      </c>
      <c r="W55" s="106">
        <f t="shared" si="11"/>
        <v>2.5340366882617149E-2</v>
      </c>
      <c r="X55" s="106">
        <f t="shared" si="11"/>
        <v>2.7099484543205786E-2</v>
      </c>
      <c r="Y55" s="106">
        <f t="shared" si="11"/>
        <v>2.7404672050210334E-2</v>
      </c>
    </row>
    <row r="56" spans="1:25" x14ac:dyDescent="0.25">
      <c r="A56" s="99" t="str">
        <f t="shared" si="12"/>
        <v>Education</v>
      </c>
      <c r="B56" s="106">
        <f t="shared" si="13"/>
        <v>0.14442075789875591</v>
      </c>
      <c r="C56" s="106">
        <f t="shared" si="11"/>
        <v>0.15611187961807083</v>
      </c>
      <c r="D56" s="106">
        <f t="shared" si="11"/>
        <v>0.15799342105263159</v>
      </c>
      <c r="E56" s="106">
        <f t="shared" si="11"/>
        <v>0.15590838925117345</v>
      </c>
      <c r="F56" s="106">
        <f t="shared" si="11"/>
        <v>0.16189724759505966</v>
      </c>
      <c r="G56" s="106">
        <f t="shared" si="11"/>
        <v>0.16702230276811553</v>
      </c>
      <c r="H56" s="106">
        <f t="shared" si="11"/>
        <v>0.16466154919748779</v>
      </c>
      <c r="I56" s="106">
        <f t="shared" si="11"/>
        <v>0.17444914434215258</v>
      </c>
      <c r="J56" s="106">
        <f t="shared" si="11"/>
        <v>0.16719801629472192</v>
      </c>
      <c r="K56" s="106">
        <f t="shared" si="11"/>
        <v>0.17047669212536212</v>
      </c>
      <c r="L56" s="106">
        <f t="shared" si="11"/>
        <v>0.17585282101411134</v>
      </c>
      <c r="M56" s="106">
        <f t="shared" si="11"/>
        <v>0.18110405424764814</v>
      </c>
      <c r="N56" s="106">
        <f t="shared" si="11"/>
        <v>0.17663436908341684</v>
      </c>
      <c r="O56" s="106">
        <f t="shared" si="11"/>
        <v>0.20101378751013788</v>
      </c>
      <c r="P56" s="106">
        <f t="shared" si="11"/>
        <v>0.17163861266966648</v>
      </c>
      <c r="Q56" s="106">
        <f t="shared" si="11"/>
        <v>0.16757022299419266</v>
      </c>
      <c r="R56" s="106">
        <f t="shared" si="11"/>
        <v>0.17897878191306524</v>
      </c>
      <c r="S56" s="106">
        <f t="shared" si="11"/>
        <v>0.18315029759580087</v>
      </c>
      <c r="T56" s="106">
        <f t="shared" si="11"/>
        <v>0.16536550745209366</v>
      </c>
      <c r="U56" s="106">
        <f t="shared" si="11"/>
        <v>0.16871272221900513</v>
      </c>
      <c r="V56" s="106">
        <f t="shared" si="11"/>
        <v>0.17785110801354079</v>
      </c>
      <c r="W56" s="106">
        <f t="shared" si="11"/>
        <v>0.17210740621545606</v>
      </c>
      <c r="X56" s="106">
        <f t="shared" si="11"/>
        <v>0.17797769578375688</v>
      </c>
      <c r="Y56" s="106">
        <f t="shared" si="11"/>
        <v>0.1779815769183947</v>
      </c>
    </row>
    <row r="57" spans="1:25" x14ac:dyDescent="0.25">
      <c r="A57" s="99" t="str">
        <f t="shared" si="12"/>
        <v>Finance costs</v>
      </c>
      <c r="B57" s="106">
        <f t="shared" si="13"/>
        <v>0.12603009958955105</v>
      </c>
      <c r="C57" s="106">
        <f t="shared" si="11"/>
        <v>0.12780458180100543</v>
      </c>
      <c r="D57" s="106">
        <f t="shared" si="11"/>
        <v>0.12358552631578947</v>
      </c>
      <c r="E57" s="106">
        <f t="shared" si="11"/>
        <v>0.1166556406136786</v>
      </c>
      <c r="F57" s="106">
        <f t="shared" si="11"/>
        <v>9.322368221406245E-2</v>
      </c>
      <c r="G57" s="106">
        <f t="shared" si="11"/>
        <v>8.1961942065417556E-2</v>
      </c>
      <c r="H57" s="106">
        <f t="shared" si="11"/>
        <v>7.0230286113049559E-2</v>
      </c>
      <c r="I57" s="106">
        <f t="shared" si="11"/>
        <v>6.5605042713776235E-2</v>
      </c>
      <c r="J57" s="106">
        <f t="shared" si="11"/>
        <v>6.2781002207144596E-2</v>
      </c>
      <c r="K57" s="106">
        <f t="shared" si="11"/>
        <v>5.5780879641822483E-2</v>
      </c>
      <c r="L57" s="106">
        <f t="shared" si="11"/>
        <v>5.9152317216833339E-2</v>
      </c>
      <c r="M57" s="106">
        <f t="shared" si="11"/>
        <v>5.3770116040303705E-2</v>
      </c>
      <c r="N57" s="106">
        <f t="shared" si="11"/>
        <v>5.0651520213832263E-2</v>
      </c>
      <c r="O57" s="106">
        <f t="shared" si="11"/>
        <v>4.7769667477696676E-2</v>
      </c>
      <c r="P57" s="106">
        <f t="shared" si="11"/>
        <v>4.3127233672203398E-2</v>
      </c>
      <c r="Q57" s="106">
        <f t="shared" si="11"/>
        <v>4.3160166324543399E-2</v>
      </c>
      <c r="R57" s="106">
        <f t="shared" si="11"/>
        <v>3.7951939001906194E-2</v>
      </c>
      <c r="S57" s="106">
        <f t="shared" si="11"/>
        <v>3.6102041772764909E-2</v>
      </c>
      <c r="T57" s="106">
        <f t="shared" si="11"/>
        <v>4.3520227111426543E-2</v>
      </c>
      <c r="U57" s="106">
        <f t="shared" si="11"/>
        <v>5.0828073426370954E-2</v>
      </c>
      <c r="V57" s="106">
        <f t="shared" si="11"/>
        <v>5.1474980798224906E-2</v>
      </c>
      <c r="W57" s="106">
        <f t="shared" si="11"/>
        <v>5.0652748821134234E-2</v>
      </c>
      <c r="X57" s="106">
        <f t="shared" si="11"/>
        <v>5.2278097922971688E-2</v>
      </c>
      <c r="Y57" s="106">
        <f t="shared" si="11"/>
        <v>4.8560104965575085E-2</v>
      </c>
    </row>
    <row r="58" spans="1:25" x14ac:dyDescent="0.25">
      <c r="A58" s="99" t="str">
        <f t="shared" si="12"/>
        <v>Health</v>
      </c>
      <c r="B58" s="106">
        <f t="shared" si="13"/>
        <v>0.13261637341308982</v>
      </c>
      <c r="C58" s="106">
        <f t="shared" si="11"/>
        <v>0.15526839636964812</v>
      </c>
      <c r="D58" s="106">
        <f t="shared" si="11"/>
        <v>0.16072368421052632</v>
      </c>
      <c r="E58" s="106">
        <f t="shared" si="11"/>
        <v>0.16469772863308443</v>
      </c>
      <c r="F58" s="106">
        <f t="shared" si="11"/>
        <v>0.17072800655479017</v>
      </c>
      <c r="G58" s="106">
        <f t="shared" si="11"/>
        <v>0.17541141738037475</v>
      </c>
      <c r="H58" s="106">
        <f t="shared" si="11"/>
        <v>0.18347522679692954</v>
      </c>
      <c r="I58" s="106">
        <f t="shared" si="11"/>
        <v>0.19004174615023084</v>
      </c>
      <c r="J58" s="106">
        <f t="shared" si="11"/>
        <v>0.18147633450502737</v>
      </c>
      <c r="K58" s="106">
        <f t="shared" si="11"/>
        <v>0.18519884119041349</v>
      </c>
      <c r="L58" s="106">
        <f t="shared" si="11"/>
        <v>0.18800912349299445</v>
      </c>
      <c r="M58" s="106">
        <f t="shared" si="11"/>
        <v>0.19366314884675995</v>
      </c>
      <c r="N58" s="106">
        <f t="shared" si="11"/>
        <v>0.19630248357278091</v>
      </c>
      <c r="O58" s="106">
        <f t="shared" si="11"/>
        <v>0.19357258718572584</v>
      </c>
      <c r="P58" s="106">
        <f t="shared" si="11"/>
        <v>0.19174860655889486</v>
      </c>
      <c r="Q58" s="106">
        <f t="shared" si="11"/>
        <v>0.19820341421478327</v>
      </c>
      <c r="R58" s="106">
        <f t="shared" si="11"/>
        <v>0.19324396112621481</v>
      </c>
      <c r="S58" s="106">
        <f t="shared" si="11"/>
        <v>0.20508334244606566</v>
      </c>
      <c r="T58" s="106">
        <f t="shared" si="11"/>
        <v>0.1952164655784244</v>
      </c>
      <c r="U58" s="106">
        <f t="shared" si="11"/>
        <v>0.20499160345127107</v>
      </c>
      <c r="V58" s="106">
        <f t="shared" si="11"/>
        <v>0.20621284100930221</v>
      </c>
      <c r="W58" s="106">
        <f t="shared" si="11"/>
        <v>0.20845984860145239</v>
      </c>
      <c r="X58" s="106">
        <f t="shared" si="11"/>
        <v>0.20808976963365258</v>
      </c>
      <c r="Y58" s="106">
        <f t="shared" si="11"/>
        <v>0.21136495827077331</v>
      </c>
    </row>
    <row r="59" spans="1:25" x14ac:dyDescent="0.25">
      <c r="A59" s="99" t="str">
        <f t="shared" si="12"/>
        <v>Law and order</v>
      </c>
      <c r="B59" s="106">
        <f t="shared" si="13"/>
        <v>3.3535906328550066E-2</v>
      </c>
      <c r="C59" s="106">
        <f t="shared" si="11"/>
        <v>3.8800229427443572E-2</v>
      </c>
      <c r="D59" s="106">
        <f t="shared" si="11"/>
        <v>3.9144736842105267E-2</v>
      </c>
      <c r="E59" s="106">
        <f t="shared" si="11"/>
        <v>3.8874712535047096E-2</v>
      </c>
      <c r="F59" s="106">
        <f t="shared" si="11"/>
        <v>3.8873547173246752E-2</v>
      </c>
      <c r="G59" s="106">
        <f t="shared" si="11"/>
        <v>3.9314840256057991E-2</v>
      </c>
      <c r="H59" s="106">
        <f t="shared" si="11"/>
        <v>4.1842288904396376E-2</v>
      </c>
      <c r="I59" s="106">
        <f t="shared" si="11"/>
        <v>4.2326725830084878E-2</v>
      </c>
      <c r="J59" s="106">
        <f t="shared" si="11"/>
        <v>4.1990244965802878E-2</v>
      </c>
      <c r="K59" s="106">
        <f t="shared" si="11"/>
        <v>4.5641295759810373E-2</v>
      </c>
      <c r="L59" s="106">
        <f t="shared" si="11"/>
        <v>4.3461914429656356E-2</v>
      </c>
      <c r="M59" s="106">
        <f t="shared" si="11"/>
        <v>4.4004584308294729E-2</v>
      </c>
      <c r="N59" s="106">
        <f t="shared" si="11"/>
        <v>4.4036084196458401E-2</v>
      </c>
      <c r="O59" s="106">
        <f t="shared" si="11"/>
        <v>4.5316301703163017E-2</v>
      </c>
      <c r="P59" s="106">
        <f t="shared" si="11"/>
        <v>4.9978704886765556E-2</v>
      </c>
      <c r="Q59" s="106">
        <f t="shared" si="11"/>
        <v>5.0774602172044145E-2</v>
      </c>
      <c r="R59" s="106">
        <f t="shared" si="11"/>
        <v>4.8264116746351678E-2</v>
      </c>
      <c r="S59" s="106">
        <f t="shared" si="11"/>
        <v>4.9849249371221475E-2</v>
      </c>
      <c r="T59" s="106">
        <f t="shared" si="11"/>
        <v>4.8005677785663586E-2</v>
      </c>
      <c r="U59" s="106">
        <f t="shared" si="11"/>
        <v>4.9264578145810416E-2</v>
      </c>
      <c r="V59" s="106">
        <f t="shared" si="11"/>
        <v>4.915654424942395E-2</v>
      </c>
      <c r="W59" s="106">
        <f t="shared" si="11"/>
        <v>4.898764464717982E-2</v>
      </c>
      <c r="X59" s="106">
        <f t="shared" si="11"/>
        <v>4.8574547766123577E-2</v>
      </c>
      <c r="Y59" s="106">
        <f t="shared" si="11"/>
        <v>4.9344641480339249E-2</v>
      </c>
    </row>
    <row r="60" spans="1:25" x14ac:dyDescent="0.25">
      <c r="A60" s="99" t="str">
        <f t="shared" si="12"/>
        <v>Welfare</v>
      </c>
      <c r="B60" s="106">
        <f t="shared" si="13"/>
        <v>0.21985906881695211</v>
      </c>
      <c r="C60" s="106">
        <f t="shared" si="11"/>
        <v>0.22015196010320573</v>
      </c>
      <c r="D60" s="106">
        <f t="shared" si="11"/>
        <v>0.22332072040611917</v>
      </c>
      <c r="E60" s="106">
        <f t="shared" si="11"/>
        <v>0.2274551379249112</v>
      </c>
      <c r="F60" s="106">
        <f t="shared" si="11"/>
        <v>0.22861300638279883</v>
      </c>
      <c r="G60" s="106">
        <f t="shared" si="11"/>
        <v>0.2163923884130835</v>
      </c>
      <c r="H60" s="106">
        <f t="shared" si="11"/>
        <v>0.21870202372644801</v>
      </c>
      <c r="I60" s="106">
        <f t="shared" si="11"/>
        <v>0.21641646622985267</v>
      </c>
      <c r="J60" s="106">
        <f t="shared" si="11"/>
        <v>0.21619117687130435</v>
      </c>
      <c r="K60" s="106">
        <f t="shared" si="11"/>
        <v>0.21161443244666839</v>
      </c>
      <c r="L60" s="106">
        <f t="shared" si="11"/>
        <v>0.20715843296488454</v>
      </c>
      <c r="M60" s="106">
        <f t="shared" si="11"/>
        <v>0.19968005348359677</v>
      </c>
      <c r="N60" s="106">
        <f t="shared" si="11"/>
        <v>0.1915358057690166</v>
      </c>
      <c r="O60" s="106">
        <f t="shared" si="11"/>
        <v>0.18621248986212494</v>
      </c>
      <c r="P60" s="106">
        <f t="shared" si="11"/>
        <v>0.18439716312056739</v>
      </c>
      <c r="Q60" s="106">
        <f t="shared" si="11"/>
        <v>0.18472902082565751</v>
      </c>
      <c r="R60" s="106">
        <f t="shared" si="11"/>
        <v>0.18183806756038876</v>
      </c>
      <c r="S60" s="106">
        <f t="shared" si="11"/>
        <v>0.20144345679783796</v>
      </c>
      <c r="T60" s="106">
        <f t="shared" si="11"/>
        <v>0.18701206529453512</v>
      </c>
      <c r="U60" s="106">
        <f t="shared" si="11"/>
        <v>0.18014940066014246</v>
      </c>
      <c r="V60" s="106">
        <f t="shared" si="11"/>
        <v>0.17787955508775924</v>
      </c>
      <c r="W60" s="106">
        <f t="shared" si="11"/>
        <v>0.1730588943148586</v>
      </c>
      <c r="X60" s="106">
        <f t="shared" si="11"/>
        <v>0.16489089728176001</v>
      </c>
      <c r="Y60" s="106">
        <f t="shared" si="11"/>
        <v>0.15980197216248024</v>
      </c>
    </row>
    <row r="61" spans="1:25" x14ac:dyDescent="0.25">
      <c r="A61" s="99" t="str">
        <f t="shared" si="12"/>
        <v>NZ super</v>
      </c>
      <c r="B61" s="106">
        <f t="shared" si="13"/>
        <v>0.16421296656438353</v>
      </c>
      <c r="C61" s="106">
        <f t="shared" si="11"/>
        <v>0.16714180824255492</v>
      </c>
      <c r="D61" s="106">
        <f t="shared" si="11"/>
        <v>0.16233717433072295</v>
      </c>
      <c r="E61" s="106">
        <f t="shared" si="11"/>
        <v>0.15814168657182817</v>
      </c>
      <c r="F61" s="106">
        <f t="shared" si="11"/>
        <v>0.15435667771273118</v>
      </c>
      <c r="G61" s="106">
        <f t="shared" si="11"/>
        <v>0.14925024115050717</v>
      </c>
      <c r="H61" s="106">
        <f t="shared" si="11"/>
        <v>0.14154919748778785</v>
      </c>
      <c r="I61" s="106">
        <f t="shared" si="11"/>
        <v>0.14011224461585248</v>
      </c>
      <c r="J61" s="106">
        <f t="shared" si="11"/>
        <v>0.1436823891659173</v>
      </c>
      <c r="K61" s="106">
        <f t="shared" si="11"/>
        <v>0.14353436923887278</v>
      </c>
      <c r="L61" s="106">
        <f t="shared" si="11"/>
        <v>0.14141414141414141</v>
      </c>
      <c r="M61" s="106">
        <f t="shared" si="11"/>
        <v>0.14060933097750825</v>
      </c>
      <c r="N61" s="106">
        <f t="shared" si="11"/>
        <v>0.13549393028176857</v>
      </c>
      <c r="O61" s="106">
        <f t="shared" si="11"/>
        <v>0.13004866180048663</v>
      </c>
      <c r="P61" s="106">
        <f t="shared" si="11"/>
        <v>0.12610410532748181</v>
      </c>
      <c r="Q61" s="106">
        <f t="shared" si="11"/>
        <v>0.12891906591574995</v>
      </c>
      <c r="R61" s="106">
        <f t="shared" si="11"/>
        <v>0.12099621886816038</v>
      </c>
      <c r="S61" s="106">
        <f t="shared" si="11"/>
        <v>0.1295049443081874</v>
      </c>
      <c r="T61" s="106">
        <f t="shared" si="11"/>
        <v>0.12533711852377571</v>
      </c>
      <c r="U61" s="106">
        <f t="shared" si="11"/>
        <v>0.13874572934159474</v>
      </c>
      <c r="V61" s="106">
        <f t="shared" si="11"/>
        <v>0.14557790231274714</v>
      </c>
      <c r="W61" s="106">
        <f t="shared" si="11"/>
        <v>0.15269984748205465</v>
      </c>
      <c r="X61" s="106">
        <f t="shared" si="11"/>
        <v>0.16017854428368089</v>
      </c>
      <c r="Y61" s="106">
        <f t="shared" si="11"/>
        <v>0.16592947287262103</v>
      </c>
    </row>
    <row r="62" spans="1:25" x14ac:dyDescent="0.25">
      <c r="A62" s="99" t="str">
        <f t="shared" si="12"/>
        <v>All other</v>
      </c>
      <c r="B62" s="106">
        <f t="shared" si="13"/>
        <v>9.5421426071462659E-2</v>
      </c>
      <c r="C62" s="106">
        <f t="shared" si="11"/>
        <v>4.1195721852964003E-2</v>
      </c>
      <c r="D62" s="106">
        <f t="shared" si="11"/>
        <v>5.5493421052631581E-2</v>
      </c>
      <c r="E62" s="106">
        <f t="shared" si="11"/>
        <v>5.8406577828182586E-2</v>
      </c>
      <c r="F62" s="106">
        <f t="shared" si="11"/>
        <v>7.3013079234060627E-2</v>
      </c>
      <c r="G62" s="106">
        <f t="shared" si="11"/>
        <v>9.3858700417994212E-2</v>
      </c>
      <c r="H62" s="106">
        <f t="shared" si="11"/>
        <v>0.10319609211444522</v>
      </c>
      <c r="I62" s="106">
        <f t="shared" si="11"/>
        <v>8.9298056454065411E-2</v>
      </c>
      <c r="J62" s="106">
        <f t="shared" si="11"/>
        <v>0.10384479141121011</v>
      </c>
      <c r="K62" s="106">
        <f t="shared" si="11"/>
        <v>0.11659204635238346</v>
      </c>
      <c r="L62" s="106">
        <f t="shared" si="11"/>
        <v>0.10151139183397248</v>
      </c>
      <c r="M62" s="106">
        <f t="shared" si="11"/>
        <v>0.10594049949859127</v>
      </c>
      <c r="N62" s="106">
        <f t="shared" si="11"/>
        <v>0.11976834836841518</v>
      </c>
      <c r="O62" s="106">
        <f t="shared" si="11"/>
        <v>0.11719383617193835</v>
      </c>
      <c r="P62" s="106">
        <f t="shared" si="11"/>
        <v>0.11573431105679316</v>
      </c>
      <c r="Q62" s="106">
        <f t="shared" si="11"/>
        <v>0.14009509272417847</v>
      </c>
      <c r="R62" s="106">
        <f t="shared" si="11"/>
        <v>0.1285741070591544</v>
      </c>
      <c r="S62" s="106">
        <f t="shared" si="11"/>
        <v>0.12006936091106495</v>
      </c>
      <c r="T62" s="106">
        <f t="shared" si="11"/>
        <v>0.1309013484740951</v>
      </c>
      <c r="U62" s="106">
        <f t="shared" si="11"/>
        <v>0.10359603914528924</v>
      </c>
      <c r="V62" s="106">
        <f t="shared" si="11"/>
        <v>0.10511193923704946</v>
      </c>
      <c r="W62" s="106">
        <f t="shared" si="11"/>
        <v>0.10569913386598011</v>
      </c>
      <c r="X62" s="106">
        <f t="shared" si="11"/>
        <v>0.10378231969376615</v>
      </c>
      <c r="Y62" s="106">
        <f t="shared" si="11"/>
        <v>0.10412693259749219</v>
      </c>
    </row>
    <row r="63" spans="1:25" x14ac:dyDescent="0.25">
      <c r="A63" s="99" t="str">
        <f t="shared" si="12"/>
        <v>Total core Crown expenses excluding losses</v>
      </c>
      <c r="B63" s="106">
        <f t="shared" si="13"/>
        <v>1</v>
      </c>
      <c r="C63" s="106">
        <f t="shared" si="11"/>
        <v>1</v>
      </c>
      <c r="D63" s="106">
        <f t="shared" si="11"/>
        <v>1</v>
      </c>
      <c r="E63" s="106">
        <f t="shared" si="11"/>
        <v>1</v>
      </c>
      <c r="F63" s="106">
        <f t="shared" si="11"/>
        <v>1</v>
      </c>
      <c r="G63" s="106">
        <f t="shared" si="11"/>
        <v>1</v>
      </c>
      <c r="H63" s="106">
        <f t="shared" si="11"/>
        <v>1</v>
      </c>
      <c r="I63" s="106">
        <f t="shared" si="11"/>
        <v>1</v>
      </c>
      <c r="J63" s="106">
        <f t="shared" si="11"/>
        <v>1</v>
      </c>
      <c r="K63" s="106">
        <f t="shared" si="11"/>
        <v>1</v>
      </c>
      <c r="L63" s="106">
        <f t="shared" si="11"/>
        <v>1</v>
      </c>
      <c r="M63" s="106">
        <f t="shared" si="11"/>
        <v>1</v>
      </c>
      <c r="N63" s="106">
        <f t="shared" si="11"/>
        <v>1</v>
      </c>
      <c r="O63" s="106">
        <f t="shared" si="11"/>
        <v>1</v>
      </c>
      <c r="P63" s="106">
        <f t="shared" si="11"/>
        <v>1</v>
      </c>
      <c r="Q63" s="106">
        <f t="shared" si="11"/>
        <v>1</v>
      </c>
      <c r="R63" s="106">
        <f t="shared" si="11"/>
        <v>1</v>
      </c>
      <c r="S63" s="106">
        <f t="shared" si="11"/>
        <v>1</v>
      </c>
      <c r="T63" s="106">
        <f t="shared" si="11"/>
        <v>1</v>
      </c>
      <c r="U63" s="106">
        <f t="shared" si="11"/>
        <v>1</v>
      </c>
      <c r="V63" s="106">
        <f t="shared" si="11"/>
        <v>1</v>
      </c>
      <c r="W63" s="106">
        <f t="shared" si="11"/>
        <v>1</v>
      </c>
      <c r="X63" s="106">
        <f t="shared" si="11"/>
        <v>1</v>
      </c>
      <c r="Y63" s="106">
        <f t="shared" si="11"/>
        <v>1</v>
      </c>
    </row>
  </sheetData>
  <mergeCells count="3">
    <mergeCell ref="A2:A4"/>
    <mergeCell ref="A32:A35"/>
    <mergeCell ref="A50:A5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D24"/>
  <sheetViews>
    <sheetView workbookViewId="0">
      <selection activeCell="Y7" sqref="Y7"/>
    </sheetView>
  </sheetViews>
  <sheetFormatPr defaultRowHeight="15" x14ac:dyDescent="0.25"/>
  <cols>
    <col min="1" max="1" width="42.28515625" customWidth="1"/>
    <col min="2" max="25" width="11.5703125" bestFit="1" customWidth="1"/>
  </cols>
  <sheetData>
    <row r="1" spans="1:30" x14ac:dyDescent="0.25">
      <c r="A1" s="158" t="s">
        <v>58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0" s="8" customFormat="1" x14ac:dyDescent="0.25">
      <c r="A2" s="187" t="s">
        <v>0</v>
      </c>
      <c r="B2" s="45">
        <v>34121</v>
      </c>
      <c r="C2" s="46">
        <v>34486</v>
      </c>
      <c r="D2" s="46">
        <v>34851</v>
      </c>
      <c r="E2" s="46">
        <v>35217</v>
      </c>
      <c r="F2" s="46">
        <v>35582</v>
      </c>
      <c r="G2" s="46">
        <v>35947</v>
      </c>
      <c r="H2" s="46">
        <v>36312</v>
      </c>
      <c r="I2" s="46">
        <v>36678</v>
      </c>
      <c r="J2" s="46">
        <v>37043</v>
      </c>
      <c r="K2" s="46">
        <v>37408</v>
      </c>
      <c r="L2" s="46">
        <v>37773</v>
      </c>
      <c r="M2" s="46">
        <v>38139</v>
      </c>
      <c r="N2" s="46">
        <v>38504</v>
      </c>
      <c r="O2" s="46">
        <v>38869</v>
      </c>
      <c r="P2" s="46">
        <v>39234</v>
      </c>
      <c r="Q2" s="46">
        <v>39600</v>
      </c>
      <c r="R2" s="46">
        <v>39965</v>
      </c>
      <c r="S2" s="46">
        <v>40330</v>
      </c>
      <c r="T2" s="46">
        <v>40695</v>
      </c>
      <c r="U2" s="46">
        <v>41061</v>
      </c>
      <c r="V2" s="46">
        <v>41426</v>
      </c>
      <c r="W2" s="46">
        <v>41791</v>
      </c>
      <c r="X2" s="46">
        <v>42156</v>
      </c>
      <c r="Y2" s="47">
        <v>42522</v>
      </c>
      <c r="Z2" s="89">
        <f>EDATE(Y2,12)</f>
        <v>42887</v>
      </c>
      <c r="AA2" s="89">
        <f>EDATE(Z2,12)</f>
        <v>43252</v>
      </c>
      <c r="AB2" s="89">
        <f>EDATE(AA2,12)</f>
        <v>43617</v>
      </c>
      <c r="AC2" s="89">
        <f>EDATE(AB2,12)</f>
        <v>43983</v>
      </c>
      <c r="AD2" s="89">
        <f>EDATE(AC2,12)</f>
        <v>44348</v>
      </c>
    </row>
    <row r="3" spans="1:30" x14ac:dyDescent="0.25">
      <c r="A3" s="188"/>
      <c r="B3" s="13" t="s">
        <v>59</v>
      </c>
      <c r="C3" s="13" t="s">
        <v>59</v>
      </c>
      <c r="D3" s="13" t="s">
        <v>59</v>
      </c>
      <c r="E3" s="13" t="s">
        <v>59</v>
      </c>
      <c r="F3" s="13" t="s">
        <v>59</v>
      </c>
      <c r="G3" s="13" t="s">
        <v>59</v>
      </c>
      <c r="H3" s="13" t="s">
        <v>59</v>
      </c>
      <c r="I3" s="13" t="s">
        <v>59</v>
      </c>
      <c r="J3" s="13" t="s">
        <v>59</v>
      </c>
      <c r="K3" s="13" t="s">
        <v>59</v>
      </c>
      <c r="L3" s="13" t="s">
        <v>59</v>
      </c>
      <c r="M3" s="13" t="s">
        <v>59</v>
      </c>
      <c r="N3" s="13" t="s">
        <v>59</v>
      </c>
      <c r="O3" s="13" t="s">
        <v>59</v>
      </c>
      <c r="P3" s="13" t="s">
        <v>59</v>
      </c>
      <c r="Q3" s="13" t="s">
        <v>59</v>
      </c>
      <c r="R3" s="13" t="s">
        <v>59</v>
      </c>
      <c r="S3" s="13" t="s">
        <v>59</v>
      </c>
      <c r="T3" s="13" t="s">
        <v>59</v>
      </c>
      <c r="U3" s="13" t="s">
        <v>59</v>
      </c>
      <c r="V3" s="13" t="s">
        <v>59</v>
      </c>
      <c r="W3" s="13" t="s">
        <v>59</v>
      </c>
      <c r="X3" s="13" t="s">
        <v>59</v>
      </c>
      <c r="Y3" s="13" t="s">
        <v>59</v>
      </c>
      <c r="Z3" s="158"/>
      <c r="AA3" s="158"/>
      <c r="AB3" s="158"/>
      <c r="AC3" s="158"/>
      <c r="AD3" s="158"/>
    </row>
    <row r="4" spans="1:30" x14ac:dyDescent="0.25">
      <c r="A4" s="188"/>
      <c r="B4" s="13" t="s">
        <v>25</v>
      </c>
      <c r="C4" s="10" t="s">
        <v>25</v>
      </c>
      <c r="D4" s="9" t="s">
        <v>25</v>
      </c>
      <c r="E4" s="10" t="s">
        <v>25</v>
      </c>
      <c r="F4" s="9" t="s">
        <v>25</v>
      </c>
      <c r="G4" s="10" t="s">
        <v>25</v>
      </c>
      <c r="H4" s="9" t="s">
        <v>25</v>
      </c>
      <c r="I4" s="10" t="s">
        <v>25</v>
      </c>
      <c r="J4" s="9" t="s">
        <v>25</v>
      </c>
      <c r="K4" s="10" t="s">
        <v>25</v>
      </c>
      <c r="L4" s="9" t="s">
        <v>25</v>
      </c>
      <c r="M4" s="10" t="s">
        <v>25</v>
      </c>
      <c r="N4" s="9" t="s">
        <v>25</v>
      </c>
      <c r="O4" s="10" t="s">
        <v>25</v>
      </c>
      <c r="P4" s="9" t="s">
        <v>25</v>
      </c>
      <c r="Q4" s="10" t="s">
        <v>25</v>
      </c>
      <c r="R4" s="9" t="s">
        <v>25</v>
      </c>
      <c r="S4" s="10" t="s">
        <v>25</v>
      </c>
      <c r="T4" s="9" t="s">
        <v>25</v>
      </c>
      <c r="U4" s="10" t="s">
        <v>25</v>
      </c>
      <c r="V4" s="9" t="s">
        <v>25</v>
      </c>
      <c r="W4" s="10" t="s">
        <v>25</v>
      </c>
      <c r="X4" s="10" t="s">
        <v>25</v>
      </c>
      <c r="Y4" s="9" t="s">
        <v>25</v>
      </c>
      <c r="Z4" s="158"/>
      <c r="AA4" s="158"/>
      <c r="AB4" s="158"/>
      <c r="AC4" s="158"/>
      <c r="AD4" s="158"/>
    </row>
    <row r="5" spans="1:30" s="18" customFormat="1" ht="15.75" customHeight="1" x14ac:dyDescent="0.25">
      <c r="A5" s="14" t="s">
        <v>26</v>
      </c>
      <c r="B5" s="17"/>
      <c r="C5" s="16"/>
      <c r="D5" s="15"/>
      <c r="E5" s="16"/>
      <c r="F5" s="15"/>
      <c r="G5" s="16"/>
      <c r="H5" s="15"/>
      <c r="I5" s="16"/>
      <c r="J5" s="15"/>
      <c r="K5" s="16"/>
      <c r="L5" s="15"/>
      <c r="M5" s="16"/>
      <c r="N5" s="15"/>
      <c r="O5" s="16"/>
      <c r="P5" s="15"/>
      <c r="Q5" s="16"/>
      <c r="R5" s="15"/>
      <c r="S5" s="16"/>
      <c r="T5" s="15"/>
      <c r="U5" s="16"/>
      <c r="V5" s="15"/>
      <c r="X5" s="16"/>
      <c r="Y5" s="15"/>
    </row>
    <row r="6" spans="1:30" x14ac:dyDescent="0.25">
      <c r="A6" s="24" t="str">
        <f>+'Aggregated expenditure (Core)'!A6</f>
        <v>Core govt services</v>
      </c>
      <c r="B6" s="75">
        <f>+'Aggregated expenditure (Core)'!B6/(Inflation!B$3)</f>
        <v>2332.5094353611375</v>
      </c>
      <c r="C6" s="75">
        <f>+'Aggregated expenditure (Core)'!C6/(Inflation!C$3)</f>
        <v>2715.4631025911376</v>
      </c>
      <c r="D6" s="75">
        <f>+'Aggregated expenditure (Core)'!D6/(Inflation!D$3)</f>
        <v>2019.3325244776352</v>
      </c>
      <c r="E6" s="75">
        <f>+'Aggregated expenditure (Core)'!E6/(Inflation!E$3)</f>
        <v>2312.1564260054051</v>
      </c>
      <c r="F6" s="75">
        <f>+'Aggregated expenditure (Core)'!F6/(Inflation!F$3)</f>
        <v>2435.5636533866814</v>
      </c>
      <c r="G6" s="75">
        <f>+'Aggregated expenditure (Core)'!G6/(Inflation!G$3)</f>
        <v>2244.8434082198514</v>
      </c>
      <c r="H6" s="75">
        <f>+'Aggregated expenditure (Core)'!H6/(Inflation!H$3)</f>
        <v>2459.2920012050531</v>
      </c>
      <c r="I6" s="75">
        <f>+'Aggregated expenditure (Core)'!I6/(Inflation!I$3)</f>
        <v>2418.1411750908255</v>
      </c>
      <c r="J6" s="75">
        <f>+'Aggregated expenditure (Core)'!J6/(Inflation!J$3)</f>
        <v>2462.9014257504173</v>
      </c>
      <c r="K6" s="75">
        <f>+'Aggregated expenditure (Core)'!K6/(Inflation!K$3)</f>
        <v>2052.9537900798027</v>
      </c>
      <c r="L6" s="75">
        <f>+'Aggregated expenditure (Core)'!L6/(Inflation!L$3)</f>
        <v>2798.0983619961744</v>
      </c>
      <c r="M6" s="75">
        <f>+'Aggregated expenditure (Core)'!M6/(Inflation!M$3)</f>
        <v>2683.3259788720929</v>
      </c>
      <c r="N6" s="75">
        <f>+'Aggregated expenditure (Core)'!N6/(Inflation!N$3)</f>
        <v>3202.0790020790023</v>
      </c>
      <c r="O6" s="75">
        <f>+'Aggregated expenditure (Core)'!O6/(Inflation!O$3)</f>
        <v>3008.4</v>
      </c>
      <c r="P6" s="75">
        <f>+'Aggregated expenditure (Core)'!P6/(Inflation!P$3)</f>
        <v>5665.8823529411766</v>
      </c>
      <c r="Q6" s="75">
        <f>+'Aggregated expenditure (Core)'!Q6/(Inflation!Q$3)</f>
        <v>3812.6295947219605</v>
      </c>
      <c r="R6" s="75">
        <f>+'Aggregated expenditure (Core)'!R6/(Inflation!R$3)</f>
        <v>5875.6706753006474</v>
      </c>
      <c r="S6" s="75">
        <f>+'Aggregated expenditure (Core)'!S6/(Inflation!S$3)</f>
        <v>3247.3157415832575</v>
      </c>
      <c r="T6" s="75">
        <f>+'Aggregated expenditure (Core)'!T6/(Inflation!T$3)</f>
        <v>5769.749351771824</v>
      </c>
      <c r="U6" s="75">
        <f>+'Aggregated expenditure (Core)'!U6/(Inflation!U$3)</f>
        <v>5576.7123287671229</v>
      </c>
      <c r="V6" s="75">
        <f>+'Aggregated expenditure (Core)'!V6/(Inflation!V$3)</f>
        <v>4381.6326530612241</v>
      </c>
      <c r="W6" s="75">
        <f>+'Aggregated expenditure (Core)'!W6/(Inflation!W$3)</f>
        <v>4520.8368200836821</v>
      </c>
      <c r="X6" s="75">
        <f>+'Aggregated expenditure (Core)'!X6/(Inflation!X$3)</f>
        <v>4134</v>
      </c>
      <c r="Y6" s="75">
        <f>+'Aggregated expenditure (Core)'!Y6/(Inflation!Y$3)</f>
        <v>4084.9792531120333</v>
      </c>
      <c r="Z6" s="75">
        <f>+'Aggregated expenditure (Core)'!Z6/(Inflation!Z$3)</f>
        <v>4022.4938875305625</v>
      </c>
      <c r="AA6" s="75">
        <f>+'Aggregated expenditure (Core)'!AA6/(Inflation!AA$3)</f>
        <v>4595.8266452648477</v>
      </c>
      <c r="AB6" s="75">
        <f>+'Aggregated expenditure (Core)'!AB6/(Inflation!AB$3)</f>
        <v>4236.2922230950517</v>
      </c>
      <c r="AC6" s="75">
        <f>+'Aggregated expenditure (Core)'!AC6/(Inflation!AC$3)</f>
        <v>4238.2782475019212</v>
      </c>
      <c r="AD6" s="75">
        <f>+'Aggregated expenditure (Core)'!AD6/(Inflation!AD$3)</f>
        <v>4182.3927765237022</v>
      </c>
    </row>
    <row r="7" spans="1:30" x14ac:dyDescent="0.25">
      <c r="A7" s="24" t="str">
        <f>+'Aggregated expenditure (Core)'!A7</f>
        <v>Defence</v>
      </c>
      <c r="B7" s="75">
        <f>+'Aggregated expenditure (Core)'!B7/(Inflation!B$3)</f>
        <v>1868.8753877586164</v>
      </c>
      <c r="C7" s="75">
        <f>+'Aggregated expenditure (Core)'!C7/(Inflation!C$3)</f>
        <v>1653.2331947870593</v>
      </c>
      <c r="D7" s="75">
        <f>+'Aggregated expenditure (Core)'!D7/(Inflation!D$3)</f>
        <v>1526.5551099222719</v>
      </c>
      <c r="E7" s="75">
        <f>+'Aggregated expenditure (Core)'!E7/(Inflation!E$3)</f>
        <v>1433.0937592493567</v>
      </c>
      <c r="F7" s="75">
        <f>+'Aggregated expenditure (Core)'!F7/(Inflation!F$3)</f>
        <v>1382.1494997623279</v>
      </c>
      <c r="G7" s="75">
        <f>+'Aggregated expenditure (Core)'!G7/(Inflation!G$3)</f>
        <v>1530.5750510589896</v>
      </c>
      <c r="H7" s="75">
        <f>+'Aggregated expenditure (Core)'!H7/(Inflation!H$3)</f>
        <v>1485.6720007279791</v>
      </c>
      <c r="I7" s="75">
        <f>+'Aggregated expenditure (Core)'!I7/(Inflation!I$3)</f>
        <v>1763.4047048761749</v>
      </c>
      <c r="J7" s="75">
        <f>+'Aggregated expenditure (Core)'!J7/(Inflation!J$3)</f>
        <v>1701.2923085550713</v>
      </c>
      <c r="K7" s="75">
        <f>+'Aggregated expenditure (Core)'!K7/(Inflation!K$3)</f>
        <v>1549.0469506965785</v>
      </c>
      <c r="L7" s="75">
        <f>+'Aggregated expenditure (Core)'!L7/(Inflation!L$3)</f>
        <v>1575.0797821753115</v>
      </c>
      <c r="M7" s="75">
        <f>+'Aggregated expenditure (Core)'!M7/(Inflation!M$3)</f>
        <v>1682.372242133579</v>
      </c>
      <c r="N7" s="75">
        <f>+'Aggregated expenditure (Core)'!N7/(Inflation!N$3)</f>
        <v>1590.4365904365904</v>
      </c>
      <c r="O7" s="75">
        <f>+'Aggregated expenditure (Core)'!O7/(Inflation!O$3)</f>
        <v>1659.6</v>
      </c>
      <c r="P7" s="75">
        <f>+'Aggregated expenditure (Core)'!P7/(Inflation!P$3)</f>
        <v>1784.7058823529412</v>
      </c>
      <c r="Q7" s="75">
        <f>+'Aggregated expenditure (Core)'!Q7/(Inflation!Q$3)</f>
        <v>1766.6352497643732</v>
      </c>
      <c r="R7" s="75">
        <f>+'Aggregated expenditure (Core)'!R7/(Inflation!R$3)</f>
        <v>1950.4162812210916</v>
      </c>
      <c r="S7" s="75">
        <f>+'Aggregated expenditure (Core)'!S7/(Inflation!S$3)</f>
        <v>1980.7097361237488</v>
      </c>
      <c r="T7" s="75">
        <f>+'Aggregated expenditure (Core)'!T7/(Inflation!T$3)</f>
        <v>1876.2316335350044</v>
      </c>
      <c r="U7" s="75">
        <f>+'Aggregated expenditure (Core)'!U7/(Inflation!U$3)</f>
        <v>1783.5616438356165</v>
      </c>
      <c r="V7" s="75">
        <f>+'Aggregated expenditure (Core)'!V7/(Inflation!V$3)</f>
        <v>1840.8163265306123</v>
      </c>
      <c r="W7" s="75">
        <f>+'Aggregated expenditure (Core)'!W7/(Inflation!W$3)</f>
        <v>1818.5774058577406</v>
      </c>
      <c r="X7" s="75">
        <f>+'Aggregated expenditure (Core)'!X7/(Inflation!X$3)</f>
        <v>1961</v>
      </c>
      <c r="Y7" s="75">
        <f>+'Aggregated expenditure (Core)'!Y7/(Inflation!Y$3)</f>
        <v>2017.5933609958506</v>
      </c>
      <c r="Z7" s="75">
        <f>+'Aggregated expenditure (Core)'!Z7/(Inflation!Z$3)</f>
        <v>2087.0415647921759</v>
      </c>
      <c r="AA7" s="75">
        <f>+'Aggregated expenditure (Core)'!AA7/(Inflation!AA$3)</f>
        <v>2178.4911717495988</v>
      </c>
      <c r="AB7" s="75">
        <f>+'Aggregated expenditure (Core)'!AB7/(Inflation!AB$3)</f>
        <v>2284.9960722702281</v>
      </c>
      <c r="AC7" s="75">
        <f>+'Aggregated expenditure (Core)'!AC7/(Inflation!AC$3)</f>
        <v>2316.9869331283626</v>
      </c>
      <c r="AD7" s="75">
        <f>+'Aggregated expenditure (Core)'!AD7/(Inflation!AD$3)</f>
        <v>2347.6297968397294</v>
      </c>
    </row>
    <row r="8" spans="1:30" x14ac:dyDescent="0.25">
      <c r="A8" s="24" t="str">
        <f>+'Aggregated expenditure (Core)'!A8</f>
        <v>Education</v>
      </c>
      <c r="B8" s="75">
        <f>+'Aggregated expenditure (Core)'!B8/(Inflation!B$3)</f>
        <v>7231.7351961094282</v>
      </c>
      <c r="C8" s="75">
        <f>+'Aggregated expenditure (Core)'!C8/(Inflation!C$3)</f>
        <v>7292.1925569873438</v>
      </c>
      <c r="D8" s="75">
        <f>+'Aggregated expenditure (Core)'!D8/(Inflation!D$3)</f>
        <v>7237.9508321388666</v>
      </c>
      <c r="E8" s="75">
        <f>+'Aggregated expenditure (Core)'!E8/(Inflation!E$3)</f>
        <v>7311.7330046650168</v>
      </c>
      <c r="F8" s="75">
        <f>+'Aggregated expenditure (Core)'!F8/(Inflation!F$3)</f>
        <v>7794.6803184270821</v>
      </c>
      <c r="G8" s="75">
        <f>+'Aggregated expenditure (Core)'!G8/(Inflation!G$3)</f>
        <v>8211.930367841378</v>
      </c>
      <c r="H8" s="75">
        <f>+'Aggregated expenditure (Core)'!H8/(Inflation!H$3)</f>
        <v>8508.717604169271</v>
      </c>
      <c r="I8" s="75">
        <f>+'Aggregated expenditure (Core)'!I8/(Inflation!I$3)</f>
        <v>8923.0823478497714</v>
      </c>
      <c r="J8" s="75">
        <f>+'Aggregated expenditure (Core)'!J8/(Inflation!J$3)</f>
        <v>8405.0963005587091</v>
      </c>
      <c r="K8" s="75">
        <f>+'Aggregated expenditure (Core)'!K8/(Inflation!K$3)</f>
        <v>8629.0713527185471</v>
      </c>
      <c r="L8" s="75">
        <f>+'Aggregated expenditure (Core)'!L8/(Inflation!L$3)</f>
        <v>9216.6469989507805</v>
      </c>
      <c r="M8" s="75">
        <f>+'Aggregated expenditure (Core)'!M8/(Inflation!M$3)</f>
        <v>9733.633452771317</v>
      </c>
      <c r="N8" s="75">
        <f>+'Aggregated expenditure (Core)'!N8/(Inflation!N$3)</f>
        <v>9891.8918918918916</v>
      </c>
      <c r="O8" s="75">
        <f>+'Aggregated expenditure (Core)'!O8/(Inflation!O$3)</f>
        <v>11896.8</v>
      </c>
      <c r="P8" s="75">
        <f>+'Aggregated expenditure (Core)'!P8/(Inflation!P$3)</f>
        <v>10904.705882352942</v>
      </c>
      <c r="Q8" s="75">
        <f>+'Aggregated expenditure (Core)'!Q8/(Inflation!Q$3)</f>
        <v>10802.262016965127</v>
      </c>
      <c r="R8" s="75">
        <f>+'Aggregated expenditure (Core)'!R8/(Inflation!R$3)</f>
        <v>12716.003700277521</v>
      </c>
      <c r="S8" s="75">
        <f>+'Aggregated expenditure (Core)'!S8/(Inflation!S$3)</f>
        <v>12801.455868971792</v>
      </c>
      <c r="T8" s="75">
        <f>+'Aggregated expenditure (Core)'!T8/(Inflation!T$3)</f>
        <v>12082.973206568713</v>
      </c>
      <c r="U8" s="75">
        <f>+'Aggregated expenditure (Core)'!U8/(Inflation!U$3)</f>
        <v>11973.287671232876</v>
      </c>
      <c r="V8" s="75">
        <f>+'Aggregated expenditure (Core)'!V8/(Inflation!V$3)</f>
        <v>12759.183673469388</v>
      </c>
      <c r="W8" s="75">
        <f>+'Aggregated expenditure (Core)'!W8/(Inflation!W$3)</f>
        <v>12351.464435146443</v>
      </c>
      <c r="X8" s="75">
        <f>+'Aggregated expenditure (Core)'!X8/(Inflation!X$3)</f>
        <v>12879</v>
      </c>
      <c r="Y8" s="75">
        <f>+'Aggregated expenditure (Core)'!Y8/(Inflation!Y$3)</f>
        <v>13103.402489626556</v>
      </c>
      <c r="Z8" s="75">
        <f>+'Aggregated expenditure (Core)'!Z8/(Inflation!Z$3)</f>
        <v>13081.662591687042</v>
      </c>
      <c r="AA8" s="75">
        <f>+'Aggregated expenditure (Core)'!AA8/(Inflation!AA$3)</f>
        <v>13267.415730337079</v>
      </c>
      <c r="AB8" s="75">
        <f>+'Aggregated expenditure (Core)'!AB8/(Inflation!AB$3)</f>
        <v>13720.345640219954</v>
      </c>
      <c r="AC8" s="75">
        <f>+'Aggregated expenditure (Core)'!AC8/(Inflation!AC$3)</f>
        <v>13942.505764796309</v>
      </c>
      <c r="AD8" s="75">
        <f>+'Aggregated expenditure (Core)'!AD8/(Inflation!AD$3)</f>
        <v>14314.221218961626</v>
      </c>
    </row>
    <row r="9" spans="1:30" x14ac:dyDescent="0.25">
      <c r="A9" s="24" t="str">
        <f>+'Aggregated expenditure (Core)'!A9</f>
        <v>Finance costs</v>
      </c>
      <c r="B9" s="75">
        <f>+'Aggregated expenditure (Core)'!B9/(Inflation!B$3)</f>
        <v>6310.8400775037335</v>
      </c>
      <c r="C9" s="75">
        <f>+'Aggregated expenditure (Core)'!C9/(Inflation!C$3)</f>
        <v>5969.9212029107539</v>
      </c>
      <c r="D9" s="75">
        <f>+'Aggregated expenditure (Core)'!D9/(Inflation!D$3)</f>
        <v>5661.6658913899064</v>
      </c>
      <c r="E9" s="75">
        <f>+'Aggregated expenditure (Core)'!E9/(Inflation!E$3)</f>
        <v>5470.8723613405855</v>
      </c>
      <c r="F9" s="75">
        <f>+'Aggregated expenditure (Core)'!F9/(Inflation!F$3)</f>
        <v>4488.3332592704774</v>
      </c>
      <c r="G9" s="75">
        <f>+'Aggregated expenditure (Core)'!G9/(Inflation!G$3)</f>
        <v>4029.7957212858282</v>
      </c>
      <c r="H9" s="75">
        <f>+'Aggregated expenditure (Core)'!H9/(Inflation!H$3)</f>
        <v>3629.078401778248</v>
      </c>
      <c r="I9" s="75">
        <f>+'Aggregated expenditure (Core)'!I9/(Inflation!I$3)</f>
        <v>3355.7011745558648</v>
      </c>
      <c r="J9" s="75">
        <f>+'Aggregated expenditure (Core)'!J9/(Inflation!J$3)</f>
        <v>3156.0205144210017</v>
      </c>
      <c r="K9" s="75">
        <f>+'Aggregated expenditure (Core)'!K9/(Inflation!K$3)</f>
        <v>2823.4780047980662</v>
      </c>
      <c r="L9" s="75">
        <f>+'Aggregated expenditure (Core)'!L9/(Inflation!L$3)</f>
        <v>3100.2404386436488</v>
      </c>
      <c r="M9" s="75">
        <f>+'Aggregated expenditure (Core)'!M9/(Inflation!M$3)</f>
        <v>2889.9330963270941</v>
      </c>
      <c r="N9" s="75">
        <f>+'Aggregated expenditure (Core)'!N9/(Inflation!N$3)</f>
        <v>2836.5904365904366</v>
      </c>
      <c r="O9" s="75">
        <f>+'Aggregated expenditure (Core)'!O9/(Inflation!O$3)</f>
        <v>2827.2</v>
      </c>
      <c r="P9" s="75">
        <f>+'Aggregated expenditure (Core)'!P9/(Inflation!P$3)</f>
        <v>2740</v>
      </c>
      <c r="Q9" s="75">
        <f>+'Aggregated expenditure (Core)'!Q9/(Inflation!Q$3)</f>
        <v>2782.2808671065031</v>
      </c>
      <c r="R9" s="75">
        <f>+'Aggregated expenditure (Core)'!R9/(Inflation!R$3)</f>
        <v>2696.3922294172062</v>
      </c>
      <c r="S9" s="75">
        <f>+'Aggregated expenditure (Core)'!S9/(Inflation!S$3)</f>
        <v>2523.3848953594174</v>
      </c>
      <c r="T9" s="75">
        <f>+'Aggregated expenditure (Core)'!T9/(Inflation!T$3)</f>
        <v>3179.9481417458946</v>
      </c>
      <c r="U9" s="75">
        <f>+'Aggregated expenditure (Core)'!U9/(Inflation!U$3)</f>
        <v>3607.1917808219177</v>
      </c>
      <c r="V9" s="75">
        <f>+'Aggregated expenditure (Core)'!V9/(Inflation!V$3)</f>
        <v>3692.8571428571431</v>
      </c>
      <c r="W9" s="75">
        <f>+'Aggregated expenditure (Core)'!W9/(Inflation!W$3)</f>
        <v>3635.1464435146445</v>
      </c>
      <c r="X9" s="75">
        <f>+'Aggregated expenditure (Core)'!X9/(Inflation!X$3)</f>
        <v>3783</v>
      </c>
      <c r="Y9" s="75">
        <f>+'Aggregated expenditure (Core)'!Y9/(Inflation!Y$3)</f>
        <v>3575.1037344398342</v>
      </c>
      <c r="Z9" s="75">
        <f>+'Aggregated expenditure (Core)'!Z9/(Inflation!Z$3)</f>
        <v>3509.0464547677261</v>
      </c>
      <c r="AA9" s="75">
        <f>+'Aggregated expenditure (Core)'!AA9/(Inflation!AA$3)</f>
        <v>3364.0449438202249</v>
      </c>
      <c r="AB9" s="75">
        <f>+'Aggregated expenditure (Core)'!AB9/(Inflation!AB$3)</f>
        <v>3207.8554595443834</v>
      </c>
      <c r="AC9" s="75">
        <f>+'Aggregated expenditure (Core)'!AC9/(Inflation!AC$3)</f>
        <v>3377.7094542659493</v>
      </c>
      <c r="AD9" s="75">
        <f>+'Aggregated expenditure (Core)'!AD9/(Inflation!AD$3)</f>
        <v>3436.5688487584653</v>
      </c>
    </row>
    <row r="10" spans="1:30" x14ac:dyDescent="0.25">
      <c r="A10" s="24" t="str">
        <f>+'Aggregated expenditure (Core)'!A10</f>
        <v>Health</v>
      </c>
      <c r="B10" s="75">
        <f>+'Aggregated expenditure (Core)'!B10/(Inflation!B$3)</f>
        <v>6640.6416165199598</v>
      </c>
      <c r="C10" s="75">
        <f>+'Aggregated expenditure (Core)'!C10/(Inflation!C$3)</f>
        <v>7252.792337855145</v>
      </c>
      <c r="D10" s="75">
        <f>+'Aggregated expenditure (Core)'!D10/(Inflation!D$3)</f>
        <v>7363.0288914908397</v>
      </c>
      <c r="E10" s="75">
        <f>+'Aggregated expenditure (Core)'!E10/(Inflation!E$3)</f>
        <v>7723.9321374800375</v>
      </c>
      <c r="F10" s="75">
        <f>+'Aggregated expenditure (Core)'!F10/(Inflation!F$3)</f>
        <v>8219.8446994321948</v>
      </c>
      <c r="G10" s="75">
        <f>+'Aggregated expenditure (Core)'!G10/(Inflation!G$3)</f>
        <v>8624.3951938075097</v>
      </c>
      <c r="H10" s="75">
        <f>+'Aggregated expenditure (Core)'!H10/(Inflation!H$3)</f>
        <v>9480.8952046456379</v>
      </c>
      <c r="I10" s="75">
        <f>+'Aggregated expenditure (Core)'!I10/(Inflation!I$3)</f>
        <v>9720.644700335868</v>
      </c>
      <c r="J10" s="75">
        <f>+'Aggregated expenditure (Core)'!J10/(Inflation!J$3)</f>
        <v>9122.8717994982089</v>
      </c>
      <c r="K10" s="75">
        <f>+'Aggregated expenditure (Core)'!K10/(Inflation!K$3)</f>
        <v>9374.2669167799831</v>
      </c>
      <c r="L10" s="75">
        <f>+'Aggregated expenditure (Core)'!L10/(Inflation!L$3)</f>
        <v>9853.7726823161065</v>
      </c>
      <c r="M10" s="75">
        <f>+'Aggregated expenditure (Core)'!M10/(Inflation!M$3)</f>
        <v>10408.635588059085</v>
      </c>
      <c r="N10" s="75">
        <f>+'Aggregated expenditure (Core)'!N10/(Inflation!N$3)</f>
        <v>10993.347193347194</v>
      </c>
      <c r="O10" s="75">
        <f>+'Aggregated expenditure (Core)'!O10/(Inflation!O$3)</f>
        <v>11456.4</v>
      </c>
      <c r="P10" s="75">
        <f>+'Aggregated expenditure (Core)'!P10/(Inflation!P$3)</f>
        <v>12182.35294117647</v>
      </c>
      <c r="Q10" s="75">
        <f>+'Aggregated expenditure (Core)'!Q10/(Inflation!Q$3)</f>
        <v>12777.002827521206</v>
      </c>
      <c r="R10" s="75">
        <f>+'Aggregated expenditure (Core)'!R10/(Inflation!R$3)</f>
        <v>13729.509713228492</v>
      </c>
      <c r="S10" s="75">
        <f>+'Aggregated expenditure (Core)'!S10/(Inflation!S$3)</f>
        <v>14334.485896269334</v>
      </c>
      <c r="T10" s="75">
        <f>+'Aggregated expenditure (Core)'!T10/(Inflation!T$3)</f>
        <v>14264.131374243734</v>
      </c>
      <c r="U10" s="75">
        <f>+'Aggregated expenditure (Core)'!U10/(Inflation!U$3)</f>
        <v>14547.945205479451</v>
      </c>
      <c r="V10" s="75">
        <f>+'Aggregated expenditure (Core)'!V10/(Inflation!V$3)</f>
        <v>14793.877551020409</v>
      </c>
      <c r="W10" s="75">
        <f>+'Aggregated expenditure (Core)'!W10/(Inflation!W$3)</f>
        <v>14960.334728033473</v>
      </c>
      <c r="X10" s="75">
        <f>+'Aggregated expenditure (Core)'!X10/(Inflation!X$3)</f>
        <v>15058</v>
      </c>
      <c r="Y10" s="75">
        <f>+'Aggregated expenditure (Core)'!Y10/(Inflation!Y$3)</f>
        <v>15561.161825726142</v>
      </c>
      <c r="Z10" s="75">
        <f>+'Aggregated expenditure (Core)'!Z10/(Inflation!Z$3)</f>
        <v>15773.10513447433</v>
      </c>
      <c r="AA10" s="75">
        <f>+'Aggregated expenditure (Core)'!AA10/(Inflation!AA$3)</f>
        <v>16230.818619582664</v>
      </c>
      <c r="AB10" s="75">
        <f>+'Aggregated expenditure (Core)'!AB10/(Inflation!AB$3)</f>
        <v>16700.078554595446</v>
      </c>
      <c r="AC10" s="75">
        <f>+'Aggregated expenditure (Core)'!AC10/(Inflation!AC$3)</f>
        <v>16897.770945426593</v>
      </c>
      <c r="AD10" s="75">
        <f>+'Aggregated expenditure (Core)'!AD10/(Inflation!AD$3)</f>
        <v>17046.501128668173</v>
      </c>
    </row>
    <row r="11" spans="1:30" x14ac:dyDescent="0.25">
      <c r="A11" s="24" t="str">
        <f>+'Aggregated expenditure (Core)'!A11</f>
        <v>Law and order</v>
      </c>
      <c r="B11" s="75">
        <f>+'Aggregated expenditure (Core)'!B11/(Inflation!B$3)</f>
        <v>1679.279333928032</v>
      </c>
      <c r="C11" s="75">
        <f>+'Aggregated expenditure (Core)'!C11/(Inflation!C$3)</f>
        <v>1812.4100800811423</v>
      </c>
      <c r="D11" s="75">
        <f>+'Aggregated expenditure (Core)'!D11/(Inflation!D$3)</f>
        <v>1793.2878389017803</v>
      </c>
      <c r="E11" s="75">
        <f>+'Aggregated expenditure (Core)'!E11/(Inflation!E$3)</f>
        <v>1823.1316483646456</v>
      </c>
      <c r="F11" s="75">
        <f>+'Aggregated expenditure (Core)'!F11/(Inflation!F$3)</f>
        <v>1871.599904012201</v>
      </c>
      <c r="G11" s="75">
        <f>+'Aggregated expenditure (Core)'!G11/(Inflation!G$3)</f>
        <v>1932.9797593186302</v>
      </c>
      <c r="H11" s="75">
        <f>+'Aggregated expenditure (Core)'!H11/(Inflation!H$3)</f>
        <v>2162.1576010594572</v>
      </c>
      <c r="I11" s="75">
        <f>+'Aggregated expenditure (Core)'!I11/(Inflation!I$3)</f>
        <v>2165.0141164117272</v>
      </c>
      <c r="J11" s="75">
        <f>+'Aggregated expenditure (Core)'!J11/(Inflation!J$3)</f>
        <v>2110.862679133144</v>
      </c>
      <c r="K11" s="75">
        <f>+'Aggregated expenditure (Core)'!K11/(Inflation!K$3)</f>
        <v>2310.2395572781156</v>
      </c>
      <c r="L11" s="75">
        <f>+'Aggregated expenditure (Core)'!L11/(Inflation!L$3)</f>
        <v>2277.8885256813928</v>
      </c>
      <c r="M11" s="75">
        <f>+'Aggregated expenditure (Core)'!M11/(Inflation!M$3)</f>
        <v>2365.0740215501041</v>
      </c>
      <c r="N11" s="75">
        <f>+'Aggregated expenditure (Core)'!N11/(Inflation!N$3)</f>
        <v>2466.1122661122663</v>
      </c>
      <c r="O11" s="75">
        <f>+'Aggregated expenditure (Core)'!O11/(Inflation!O$3)</f>
        <v>2682</v>
      </c>
      <c r="P11" s="75">
        <f>+'Aggregated expenditure (Core)'!P11/(Inflation!P$3)</f>
        <v>3175.294117647059</v>
      </c>
      <c r="Q11" s="75">
        <f>+'Aggregated expenditure (Core)'!Q11/(Inflation!Q$3)</f>
        <v>3273.1385485391143</v>
      </c>
      <c r="R11" s="75">
        <f>+'Aggregated expenditure (Core)'!R11/(Inflation!R$3)</f>
        <v>3429.0471785383902</v>
      </c>
      <c r="S11" s="75">
        <f>+'Aggregated expenditure (Core)'!S11/(Inflation!S$3)</f>
        <v>3484.258416742493</v>
      </c>
      <c r="T11" s="75">
        <f>+'Aggregated expenditure (Core)'!T11/(Inflation!T$3)</f>
        <v>3507.6923076923081</v>
      </c>
      <c r="U11" s="75">
        <f>+'Aggregated expenditure (Core)'!U11/(Inflation!U$3)</f>
        <v>3496.2328767123286</v>
      </c>
      <c r="V11" s="75">
        <f>+'Aggregated expenditure (Core)'!V11/(Inflation!V$3)</f>
        <v>3526.5306122448978</v>
      </c>
      <c r="W11" s="75">
        <f>+'Aggregated expenditure (Core)'!W11/(Inflation!W$3)</f>
        <v>3515.6485355648533</v>
      </c>
      <c r="X11" s="75">
        <f>+'Aggregated expenditure (Core)'!X11/(Inflation!X$3)</f>
        <v>3515</v>
      </c>
      <c r="Y11" s="75">
        <f>+'Aggregated expenditure (Core)'!Y11/(Inflation!Y$3)</f>
        <v>3632.8630705394189</v>
      </c>
      <c r="Z11" s="75">
        <f>+'Aggregated expenditure (Core)'!Z11/(Inflation!Z$3)</f>
        <v>3879.7066014669927</v>
      </c>
      <c r="AA11" s="75">
        <f>+'Aggregated expenditure (Core)'!AA11/(Inflation!AA$3)</f>
        <v>3912.0385232744784</v>
      </c>
      <c r="AB11" s="75">
        <f>+'Aggregated expenditure (Core)'!AB11/(Inflation!AB$3)</f>
        <v>4045.8758837391988</v>
      </c>
      <c r="AC11" s="75">
        <f>+'Aggregated expenditure (Core)'!AC11/(Inflation!AC$3)</f>
        <v>4126.6717909300532</v>
      </c>
      <c r="AD11" s="75">
        <f>+'Aggregated expenditure (Core)'!AD11/(Inflation!AD$3)</f>
        <v>4215.8013544018058</v>
      </c>
    </row>
    <row r="12" spans="1:30" x14ac:dyDescent="0.25">
      <c r="A12" s="24" t="str">
        <f>+'Aggregated expenditure (Core)'!A12</f>
        <v>Welfare</v>
      </c>
      <c r="B12" s="75">
        <f>+'Aggregated expenditure (Core)'!B12/(Inflation!B$3)</f>
        <v>11009.238486769458</v>
      </c>
      <c r="C12" s="75">
        <f>+'Aggregated expenditure (Core)'!C12/(Inflation!C$3)</f>
        <v>10283.589492345969</v>
      </c>
      <c r="D12" s="75">
        <f>+'Aggregated expenditure (Core)'!D12/(Inflation!D$3)</f>
        <v>10230.706970759644</v>
      </c>
      <c r="E12" s="75">
        <f>+'Aggregated expenditure (Core)'!E12/(Inflation!E$3)</f>
        <v>10667.105516476813</v>
      </c>
      <c r="F12" s="75">
        <f>+'Aggregated expenditure (Core)'!F12/(Inflation!F$3)</f>
        <v>11006.767118398031</v>
      </c>
      <c r="G12" s="75">
        <f>+'Aggregated expenditure (Core)'!G12/(Inflation!G$3)</f>
        <v>10639.293054450423</v>
      </c>
      <c r="H12" s="75">
        <f>+'Aggregated expenditure (Core)'!H12/(Inflation!H$3)</f>
        <v>11301.204005537589</v>
      </c>
      <c r="I12" s="75">
        <f>+'Aggregated expenditure (Core)'!I12/(Inflation!I$3)</f>
        <v>11069.712934860223</v>
      </c>
      <c r="J12" s="75">
        <f>+'Aggregated expenditure (Core)'!J12/(Inflation!J$3)</f>
        <v>10867.997726309126</v>
      </c>
      <c r="K12" s="75">
        <f>+'Aggregated expenditure (Core)'!K12/(Inflation!K$3)</f>
        <v>10711.353054085204</v>
      </c>
      <c r="L12" s="75">
        <f>+'Aggregated expenditure (Core)'!L12/(Inflation!L$3)</f>
        <v>10857.409841266846</v>
      </c>
      <c r="M12" s="75">
        <f>+'Aggregated expenditure (Core)'!M12/(Inflation!M$3)</f>
        <v>10732.020641466912</v>
      </c>
      <c r="N12" s="75">
        <f>+'Aggregated expenditure (Core)'!N12/(Inflation!N$3)</f>
        <v>10726.403326403326</v>
      </c>
      <c r="O12" s="75">
        <f>+'Aggregated expenditure (Core)'!O12/(Inflation!O$3)</f>
        <v>11020.8</v>
      </c>
      <c r="P12" s="75">
        <f>+'Aggregated expenditure (Core)'!P12/(Inflation!P$3)</f>
        <v>11715.294117647059</v>
      </c>
      <c r="Q12" s="75">
        <f>+'Aggregated expenditure (Core)'!Q12/(Inflation!Q$3)</f>
        <v>11908.388312912348</v>
      </c>
      <c r="R12" s="75">
        <f>+'Aggregated expenditure (Core)'!R12/(Inflation!R$3)</f>
        <v>12919.148936170212</v>
      </c>
      <c r="S12" s="75">
        <f>+'Aggregated expenditure (Core)'!S12/(Inflation!S$3)</f>
        <v>14080.072793448589</v>
      </c>
      <c r="T12" s="75">
        <f>+'Aggregated expenditure (Core)'!T12/(Inflation!T$3)</f>
        <v>13664.64995678479</v>
      </c>
      <c r="U12" s="75">
        <f>+'Aggregated expenditure (Core)'!U12/(Inflation!U$3)</f>
        <v>12784.931506849314</v>
      </c>
      <c r="V12" s="75">
        <f>+'Aggregated expenditure (Core)'!V12/(Inflation!V$3)</f>
        <v>12761.224489795919</v>
      </c>
      <c r="W12" s="75">
        <f>+'Aggregated expenditure (Core)'!W12/(Inflation!W$3)</f>
        <v>12419.748953974895</v>
      </c>
      <c r="X12" s="75">
        <f>+'Aggregated expenditure (Core)'!X12/(Inflation!X$3)</f>
        <v>11932</v>
      </c>
      <c r="Y12" s="75">
        <f>+'Aggregated expenditure (Core)'!Y12/(Inflation!Y$3)</f>
        <v>11764.979253112033</v>
      </c>
      <c r="Z12" s="75">
        <f>+'Aggregated expenditure (Core)'!Z12/(Inflation!Z$3)</f>
        <v>12089.97555012225</v>
      </c>
      <c r="AA12" s="75">
        <f>+'Aggregated expenditure (Core)'!AA12/(Inflation!AA$3)</f>
        <v>12183.948635634029</v>
      </c>
      <c r="AB12" s="75">
        <f>+'Aggregated expenditure (Core)'!AB12/(Inflation!AB$3)</f>
        <v>12431.73605655931</v>
      </c>
      <c r="AC12" s="75">
        <f>+'Aggregated expenditure (Core)'!AC12/(Inflation!AC$3)</f>
        <v>12180.784012298231</v>
      </c>
      <c r="AD12" s="75">
        <f>+'Aggregated expenditure (Core)'!AD12/(Inflation!AD$3)</f>
        <v>12094.808126410837</v>
      </c>
    </row>
    <row r="13" spans="1:30" x14ac:dyDescent="0.25">
      <c r="A13" s="24" t="str">
        <f>+'Aggregated expenditure (Core)'!A13</f>
        <v>NZ super</v>
      </c>
      <c r="B13" s="75">
        <f>+'Aggregated expenditure (Core)'!B13/(Inflation!B$3)</f>
        <v>8222.8116459110697</v>
      </c>
      <c r="C13" s="75">
        <f>+'Aggregated expenditure (Core)'!C13/(Inflation!C$3)</f>
        <v>7807.4151243944079</v>
      </c>
      <c r="D13" s="75">
        <f>+'Aggregated expenditure (Core)'!D13/(Inflation!D$3)</f>
        <v>7436.9456538491577</v>
      </c>
      <c r="E13" s="75">
        <f>+'Aggregated expenditure (Core)'!E13/(Inflation!E$3)</f>
        <v>7416.469342504759</v>
      </c>
      <c r="F13" s="75">
        <f>+'Aggregated expenditure (Core)'!F13/(Inflation!F$3)</f>
        <v>7431.633184985245</v>
      </c>
      <c r="G13" s="75">
        <f>+'Aggregated expenditure (Core)'!G13/(Inflation!G$3)</f>
        <v>7338.1372870490159</v>
      </c>
      <c r="H13" s="75">
        <f>+'Aggregated expenditure (Core)'!H13/(Inflation!H$3)</f>
        <v>7314.410403584061</v>
      </c>
      <c r="I13" s="75">
        <f>+'Aggregated expenditure (Core)'!I13/(Inflation!I$3)</f>
        <v>7166.748231204856</v>
      </c>
      <c r="J13" s="75">
        <f>+'Aggregated expenditure (Core)'!J13/(Inflation!J$3)</f>
        <v>7222.9584082213287</v>
      </c>
      <c r="K13" s="75">
        <f>+'Aggregated expenditure (Core)'!K13/(Inflation!K$3)</f>
        <v>7265.3234778798214</v>
      </c>
      <c r="L13" s="75">
        <f>+'Aggregated expenditure (Core)'!L13/(Inflation!L$3)</f>
        <v>7411.6765062828244</v>
      </c>
      <c r="M13" s="75">
        <f>+'Aggregated expenditure (Core)'!M13/(Inflation!M$3)</f>
        <v>7557.2007123757794</v>
      </c>
      <c r="N13" s="75">
        <f>+'Aggregated expenditure (Core)'!N13/(Inflation!N$3)</f>
        <v>7587.9417879417879</v>
      </c>
      <c r="O13" s="75">
        <f>+'Aggregated expenditure (Core)'!O13/(Inflation!O$3)</f>
        <v>7696.7999999999993</v>
      </c>
      <c r="P13" s="75">
        <f>+'Aggregated expenditure (Core)'!P13/(Inflation!P$3)</f>
        <v>8011.7647058823532</v>
      </c>
      <c r="Q13" s="75">
        <f>+'Aggregated expenditure (Core)'!Q13/(Inflation!Q$3)</f>
        <v>8310.6503298774751</v>
      </c>
      <c r="R13" s="75">
        <f>+'Aggregated expenditure (Core)'!R13/(Inflation!R$3)</f>
        <v>8596.4847363552271</v>
      </c>
      <c r="S13" s="75">
        <f>+'Aggregated expenditure (Core)'!S13/(Inflation!S$3)</f>
        <v>9051.8653321201091</v>
      </c>
      <c r="T13" s="75">
        <f>+'Aggregated expenditure (Core)'!T13/(Inflation!T$3)</f>
        <v>9158.1676750216084</v>
      </c>
      <c r="U13" s="75">
        <f>+'Aggregated expenditure (Core)'!U13/(Inflation!U$3)</f>
        <v>9846.5753424657523</v>
      </c>
      <c r="V13" s="75">
        <f>+'Aggregated expenditure (Core)'!V13/(Inflation!V$3)</f>
        <v>10443.877551020409</v>
      </c>
      <c r="W13" s="75">
        <f>+'Aggregated expenditure (Core)'!W13/(Inflation!W$3)</f>
        <v>10958.661087866109</v>
      </c>
      <c r="X13" s="75">
        <f>+'Aggregated expenditure (Core)'!X13/(Inflation!X$3)</f>
        <v>11591</v>
      </c>
      <c r="Y13" s="75">
        <f>+'Aggregated expenditure (Core)'!Y13/(Inflation!Y$3)</f>
        <v>12216.09958506224</v>
      </c>
      <c r="Z13" s="75">
        <f>+'Aggregated expenditure (Core)'!Z13/(Inflation!Z$3)</f>
        <v>12756.968215158924</v>
      </c>
      <c r="AA13" s="75">
        <f>+'Aggregated expenditure (Core)'!AA13/(Inflation!AA$3)</f>
        <v>13166.292134831461</v>
      </c>
      <c r="AB13" s="75">
        <f>+'Aggregated expenditure (Core)'!AB13/(Inflation!AB$3)</f>
        <v>13533.699921445404</v>
      </c>
      <c r="AC13" s="75">
        <f>+'Aggregated expenditure (Core)'!AC13/(Inflation!AC$3)</f>
        <v>13986.779400461182</v>
      </c>
      <c r="AD13" s="75">
        <f>+'Aggregated expenditure (Core)'!AD13/(Inflation!AD$3)</f>
        <v>14378.329571106096</v>
      </c>
    </row>
    <row r="14" spans="1:30" x14ac:dyDescent="0.25">
      <c r="A14" s="24" t="str">
        <f>+'Aggregated expenditure (Core)'!A14</f>
        <v>All other</v>
      </c>
      <c r="B14" s="75">
        <f>+'Aggregated expenditure (Core)'!B14/(Inflation!B$3)</f>
        <v>4778.1392053606905</v>
      </c>
      <c r="C14" s="75">
        <f>+'Aggregated expenditure (Core)'!C14/(Inflation!C$3)</f>
        <v>1924.3067024165869</v>
      </c>
      <c r="D14" s="75">
        <f>+'Aggregated expenditure (Core)'!D14/(Inflation!D$3)</f>
        <v>2542.2492304431121</v>
      </c>
      <c r="E14" s="75">
        <f>+'Aggregated expenditure (Core)'!E14/(Inflation!E$3)</f>
        <v>2739.1297212869149</v>
      </c>
      <c r="F14" s="75">
        <f>+'Aggregated expenditure (Core)'!F14/(Inflation!F$3)</f>
        <v>3515.2766347020729</v>
      </c>
      <c r="G14" s="75">
        <f>+'Aggregated expenditure (Core)'!G14/(Inflation!G$3)</f>
        <v>4614.7197079346624</v>
      </c>
      <c r="H14" s="75">
        <f>+'Aggregated expenditure (Core)'!H14/(Inflation!H$3)</f>
        <v>5332.5528026129505</v>
      </c>
      <c r="I14" s="75">
        <f>+'Aggregated expenditure (Core)'!I14/(Inflation!I$3)</f>
        <v>4567.5999973937815</v>
      </c>
      <c r="J14" s="75">
        <f>+'Aggregated expenditure (Core)'!J14/(Inflation!J$3)</f>
        <v>5220.3099741573078</v>
      </c>
      <c r="K14" s="75">
        <f>+'Aggregated expenditure (Core)'!K14/(Inflation!K$3)</f>
        <v>5901.5756030410957</v>
      </c>
      <c r="L14" s="75">
        <f>+'Aggregated expenditure (Core)'!L14/(Inflation!L$3)</f>
        <v>5320.3278714011767</v>
      </c>
      <c r="M14" s="75">
        <f>+'Aggregated expenditure (Core)'!M14/(Inflation!M$3)</f>
        <v>5693.886833216392</v>
      </c>
      <c r="N14" s="75">
        <f>+'Aggregated expenditure (Core)'!N14/(Inflation!N$3)</f>
        <v>6707.2765072765078</v>
      </c>
      <c r="O14" s="75">
        <f>+'Aggregated expenditure (Core)'!O14/(Inflation!O$3)</f>
        <v>6936</v>
      </c>
      <c r="P14" s="75">
        <f>+'Aggregated expenditure (Core)'!P14/(Inflation!P$3)</f>
        <v>7352.9411764705883</v>
      </c>
      <c r="Q14" s="75">
        <f>+'Aggregated expenditure (Core)'!Q14/(Inflation!Q$3)</f>
        <v>9031.1027332704998</v>
      </c>
      <c r="R14" s="75">
        <f>+'Aggregated expenditure (Core)'!R14/(Inflation!R$3)</f>
        <v>9134.875115633673</v>
      </c>
      <c r="S14" s="75">
        <f>+'Aggregated expenditure (Core)'!S14/(Inflation!S$3)</f>
        <v>8392.3566878980891</v>
      </c>
      <c r="T14" s="75">
        <f>+'Aggregated expenditure (Core)'!T14/(Inflation!T$3)</f>
        <v>9564.7363872082969</v>
      </c>
      <c r="U14" s="75">
        <f>+'Aggregated expenditure (Core)'!U14/(Inflation!U$3)</f>
        <v>7352.0547945205471</v>
      </c>
      <c r="V14" s="75">
        <f>+'Aggregated expenditure (Core)'!V14/(Inflation!V$3)</f>
        <v>7540.8163265306121</v>
      </c>
      <c r="W14" s="75">
        <f>+'Aggregated expenditure (Core)'!W14/(Inflation!W$3)</f>
        <v>7585.606694560669</v>
      </c>
      <c r="X14" s="75">
        <f>+'Aggregated expenditure (Core)'!X14/(Inflation!X$3)</f>
        <v>7510</v>
      </c>
      <c r="Y14" s="75">
        <f>+'Aggregated expenditure (Core)'!Y14/(Inflation!Y$3)</f>
        <v>7666.058091286307</v>
      </c>
      <c r="Z14" s="75">
        <f>+'Aggregated expenditure (Core)'!Z14/(Inflation!Z$3)</f>
        <v>8559.4132029339999</v>
      </c>
      <c r="AA14" s="75">
        <f>+'Aggregated expenditure (Core)'!AA14/(Inflation!AA$3)</f>
        <v>8615.7303370786522</v>
      </c>
      <c r="AB14" s="75">
        <f>+'Aggregated expenditure (Core)'!AB14/(Inflation!AB$3)</f>
        <v>8518.7745483110903</v>
      </c>
      <c r="AC14" s="75">
        <f>+'Aggregated expenditure (Core)'!AC14/(Inflation!AC$3)</f>
        <v>8471.9446579554315</v>
      </c>
      <c r="AD14" s="75">
        <f>+'Aggregated expenditure (Core)'!AD14/(Inflation!AD$3)</f>
        <v>8546.2753950338611</v>
      </c>
    </row>
    <row r="15" spans="1:30" x14ac:dyDescent="0.25">
      <c r="A15" s="24" t="str">
        <f>+'Aggregated expenditure (Core)'!A15</f>
        <v>Total core Crown expenses excluding losses</v>
      </c>
      <c r="B15" s="75">
        <f>+'Aggregated expenditure (Core)'!B15/(Inflation!B$3)</f>
        <v>50074.070385222127</v>
      </c>
      <c r="C15" s="75">
        <f>+'Aggregated expenditure (Core)'!C15/(Inflation!C$3)</f>
        <v>46711.323794369542</v>
      </c>
      <c r="D15" s="75">
        <f>+'Aggregated expenditure (Core)'!D15/(Inflation!D$3)</f>
        <v>45811.722943373214</v>
      </c>
      <c r="E15" s="75">
        <f>+'Aggregated expenditure (Core)'!E15/(Inflation!E$3)</f>
        <v>46897.623917373538</v>
      </c>
      <c r="F15" s="75">
        <f>+'Aggregated expenditure (Core)'!F15/(Inflation!F$3)</f>
        <v>48145.848272376315</v>
      </c>
      <c r="G15" s="75">
        <f>+'Aggregated expenditure (Core)'!G15/(Inflation!G$3)</f>
        <v>49166.66955096629</v>
      </c>
      <c r="H15" s="75">
        <f>+'Aggregated expenditure (Core)'!H15/(Inflation!H$3)</f>
        <v>51673.980025320248</v>
      </c>
      <c r="I15" s="75">
        <f>+'Aggregated expenditure (Core)'!I15/(Inflation!I$3)</f>
        <v>51150.049382579091</v>
      </c>
      <c r="J15" s="75">
        <f>+'Aggregated expenditure (Core)'!J15/(Inflation!J$3)</f>
        <v>50270.311136604316</v>
      </c>
      <c r="K15" s="75">
        <f>+'Aggregated expenditure (Core)'!K15/(Inflation!K$3)</f>
        <v>50617.308707357217</v>
      </c>
      <c r="L15" s="75">
        <f>+'Aggregated expenditure (Core)'!L15/(Inflation!L$3)</f>
        <v>52411.141008714258</v>
      </c>
      <c r="M15" s="75">
        <f>+'Aggregated expenditure (Core)'!M15/(Inflation!M$3)</f>
        <v>53746.082566772355</v>
      </c>
      <c r="N15" s="75">
        <f>+'Aggregated expenditure (Core)'!N15/(Inflation!N$3)</f>
        <v>56002.079002079001</v>
      </c>
      <c r="O15" s="75">
        <f>+'Aggregated expenditure (Core)'!O15/(Inflation!O$3)</f>
        <v>59184</v>
      </c>
      <c r="P15" s="75">
        <f>+'Aggregated expenditure (Core)'!P15/(Inflation!P$3)</f>
        <v>63532.941176470587</v>
      </c>
      <c r="Q15" s="75">
        <f>+'Aggregated expenditure (Core)'!Q15/(Inflation!Q$3)</f>
        <v>64464.090480678606</v>
      </c>
      <c r="R15" s="75">
        <f>+'Aggregated expenditure (Core)'!R15/(Inflation!R$3)</f>
        <v>71047.548566142461</v>
      </c>
      <c r="S15" s="75">
        <f>+'Aggregated expenditure (Core)'!S15/(Inflation!S$3)</f>
        <v>69895.905368516833</v>
      </c>
      <c r="T15" s="75">
        <f>+'Aggregated expenditure (Core)'!T15/(Inflation!T$3)</f>
        <v>73068.280034572177</v>
      </c>
      <c r="U15" s="75">
        <f>+'Aggregated expenditure (Core)'!U15/(Inflation!U$3)</f>
        <v>70968.493150684924</v>
      </c>
      <c r="V15" s="75">
        <f>+'Aggregated expenditure (Core)'!V15/(Inflation!V$3)</f>
        <v>71740.816326530607</v>
      </c>
      <c r="W15" s="75">
        <f>+'Aggregated expenditure (Core)'!W15/(Inflation!W$3)</f>
        <v>71766.025104602508</v>
      </c>
      <c r="X15" s="75">
        <f>+'Aggregated expenditure (Core)'!X15/(Inflation!X$3)</f>
        <v>72363</v>
      </c>
      <c r="Y15" s="75">
        <f>+'Aggregated expenditure (Core)'!Y15/(Inflation!Y$3)</f>
        <v>73622.240663900418</v>
      </c>
      <c r="Z15" s="75">
        <f>+'Aggregated expenditure (Core)'!Z15/(Inflation!Z$3)</f>
        <v>75759.413202933996</v>
      </c>
      <c r="AA15" s="75">
        <f>+'Aggregated expenditure (Core)'!AA15/(Inflation!AA$3)</f>
        <v>77514.606741573036</v>
      </c>
      <c r="AB15" s="75">
        <f>+'Aggregated expenditure (Core)'!AB15/(Inflation!AB$3)</f>
        <v>78679.654359780063</v>
      </c>
      <c r="AC15" s="75">
        <f>+'Aggregated expenditure (Core)'!AC15/(Inflation!AC$3)</f>
        <v>79539.431206764042</v>
      </c>
      <c r="AD15" s="75">
        <f>+'Aggregated expenditure (Core)'!AD15/(Inflation!AD$3)</f>
        <v>80562.52821670429</v>
      </c>
    </row>
    <row r="16" spans="1:30" x14ac:dyDescent="0.25">
      <c r="A16" s="24"/>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row>
    <row r="17" spans="1:1" x14ac:dyDescent="0.25">
      <c r="A17" s="24"/>
    </row>
    <row r="19" spans="1:1" x14ac:dyDescent="0.25">
      <c r="A19" s="41"/>
    </row>
    <row r="22" spans="1:1" x14ac:dyDescent="0.25">
      <c r="A22" s="41"/>
    </row>
    <row r="23" spans="1:1" x14ac:dyDescent="0.25">
      <c r="A23" s="41"/>
    </row>
    <row r="24" spans="1:1" x14ac:dyDescent="0.25">
      <c r="A24" s="41"/>
    </row>
  </sheetData>
  <mergeCells count="1">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F64"/>
  <sheetViews>
    <sheetView topLeftCell="A25" workbookViewId="0">
      <selection activeCell="B2" sqref="B2"/>
    </sheetView>
  </sheetViews>
  <sheetFormatPr defaultColWidth="9.140625" defaultRowHeight="15" x14ac:dyDescent="0.25"/>
  <cols>
    <col min="1" max="1" width="42.28515625" style="86" customWidth="1"/>
    <col min="2" max="5" width="9.140625" style="86"/>
    <col min="6" max="8" width="10.5703125" style="86" customWidth="1"/>
    <col min="9" max="10" width="10.7109375" style="86" customWidth="1"/>
    <col min="11" max="22" width="10.5703125" style="86" customWidth="1"/>
    <col min="23" max="23" width="10.7109375" style="86" customWidth="1"/>
    <col min="24" max="24" width="10.5703125" style="86" customWidth="1"/>
    <col min="25" max="25" width="9.140625" style="86"/>
    <col min="26" max="26" width="21.5703125" style="86" customWidth="1"/>
    <col min="27" max="27" width="10.28515625" style="86" bestFit="1" customWidth="1"/>
    <col min="28" max="28" width="11.85546875" style="86" bestFit="1" customWidth="1"/>
    <col min="29" max="29" width="9.140625" style="86"/>
    <col min="30" max="30" width="26.140625" style="86" customWidth="1"/>
    <col min="31" max="16384" width="9.140625" style="86"/>
  </cols>
  <sheetData>
    <row r="1" spans="1:31" x14ac:dyDescent="0.25">
      <c r="A1" s="86" t="s">
        <v>60</v>
      </c>
      <c r="B1" s="87"/>
      <c r="C1" s="87"/>
      <c r="D1" s="87"/>
      <c r="E1" s="87"/>
      <c r="F1" s="87"/>
      <c r="G1" s="87"/>
      <c r="H1" s="87"/>
      <c r="I1" s="87"/>
      <c r="J1" s="87"/>
      <c r="K1" s="87"/>
      <c r="L1" s="87"/>
      <c r="M1" s="87"/>
      <c r="N1" s="87"/>
      <c r="O1" s="87"/>
      <c r="P1" s="87"/>
      <c r="Q1" s="87"/>
      <c r="R1" s="87"/>
      <c r="S1" s="87"/>
      <c r="T1" s="87"/>
      <c r="U1" s="87"/>
      <c r="V1" s="87"/>
      <c r="W1" s="87"/>
      <c r="X1" s="87"/>
      <c r="Y1" s="87"/>
    </row>
    <row r="2" spans="1:31" s="91" customFormat="1" x14ac:dyDescent="0.25">
      <c r="A2" s="189" t="s">
        <v>0</v>
      </c>
      <c r="B2" s="88">
        <v>34121</v>
      </c>
      <c r="C2" s="89">
        <v>34486</v>
      </c>
      <c r="D2" s="89">
        <v>34851</v>
      </c>
      <c r="E2" s="89">
        <v>35217</v>
      </c>
      <c r="F2" s="89">
        <v>35582</v>
      </c>
      <c r="G2" s="89">
        <v>35947</v>
      </c>
      <c r="H2" s="89">
        <v>36312</v>
      </c>
      <c r="I2" s="89">
        <v>36678</v>
      </c>
      <c r="J2" s="89">
        <v>37043</v>
      </c>
      <c r="K2" s="89">
        <v>37408</v>
      </c>
      <c r="L2" s="89">
        <v>37773</v>
      </c>
      <c r="M2" s="89">
        <v>38139</v>
      </c>
      <c r="N2" s="89">
        <v>38504</v>
      </c>
      <c r="O2" s="89">
        <v>38869</v>
      </c>
      <c r="P2" s="89">
        <v>39234</v>
      </c>
      <c r="Q2" s="89">
        <v>39600</v>
      </c>
      <c r="R2" s="89">
        <v>39965</v>
      </c>
      <c r="S2" s="89">
        <v>40330</v>
      </c>
      <c r="T2" s="89">
        <v>40695</v>
      </c>
      <c r="U2" s="89">
        <v>41061</v>
      </c>
      <c r="V2" s="89">
        <v>41426</v>
      </c>
      <c r="W2" s="89">
        <v>41791</v>
      </c>
      <c r="X2" s="89">
        <v>42156</v>
      </c>
      <c r="Y2" s="90">
        <v>42522</v>
      </c>
      <c r="Z2" s="89">
        <f>EDATE(Y2,12)</f>
        <v>42887</v>
      </c>
      <c r="AA2" s="89">
        <f>EDATE(Z2,12)</f>
        <v>43252</v>
      </c>
      <c r="AB2" s="89">
        <f>EDATE(AA2,12)</f>
        <v>43617</v>
      </c>
      <c r="AC2" s="89">
        <f>EDATE(AB2,12)</f>
        <v>43983</v>
      </c>
      <c r="AD2" s="89">
        <f>EDATE(AC2,12)</f>
        <v>44348</v>
      </c>
    </row>
    <row r="3" spans="1:31" x14ac:dyDescent="0.25">
      <c r="A3" s="190"/>
      <c r="B3" s="92" t="s">
        <v>59</v>
      </c>
      <c r="C3" s="92" t="s">
        <v>59</v>
      </c>
      <c r="D3" s="92" t="s">
        <v>59</v>
      </c>
      <c r="E3" s="92" t="s">
        <v>59</v>
      </c>
      <c r="F3" s="92" t="s">
        <v>59</v>
      </c>
      <c r="G3" s="92" t="s">
        <v>59</v>
      </c>
      <c r="H3" s="92" t="s">
        <v>59</v>
      </c>
      <c r="I3" s="92" t="s">
        <v>59</v>
      </c>
      <c r="J3" s="92" t="s">
        <v>59</v>
      </c>
      <c r="K3" s="92" t="s">
        <v>59</v>
      </c>
      <c r="L3" s="92" t="s">
        <v>59</v>
      </c>
      <c r="M3" s="92" t="s">
        <v>59</v>
      </c>
      <c r="N3" s="92" t="s">
        <v>59</v>
      </c>
      <c r="O3" s="92" t="s">
        <v>59</v>
      </c>
      <c r="P3" s="92" t="s">
        <v>59</v>
      </c>
      <c r="Q3" s="92" t="s">
        <v>59</v>
      </c>
      <c r="R3" s="92" t="s">
        <v>59</v>
      </c>
      <c r="S3" s="92" t="s">
        <v>59</v>
      </c>
      <c r="T3" s="92" t="s">
        <v>59</v>
      </c>
      <c r="U3" s="92" t="s">
        <v>59</v>
      </c>
      <c r="V3" s="92" t="s">
        <v>59</v>
      </c>
      <c r="W3" s="92" t="s">
        <v>59</v>
      </c>
      <c r="X3" s="92" t="s">
        <v>59</v>
      </c>
      <c r="Y3" s="92" t="s">
        <v>59</v>
      </c>
    </row>
    <row r="4" spans="1:31" x14ac:dyDescent="0.25">
      <c r="A4" s="190"/>
      <c r="B4" s="92" t="s">
        <v>51</v>
      </c>
      <c r="C4" s="92" t="s">
        <v>51</v>
      </c>
      <c r="D4" s="92" t="s">
        <v>51</v>
      </c>
      <c r="E4" s="92" t="s">
        <v>51</v>
      </c>
      <c r="F4" s="92" t="s">
        <v>51</v>
      </c>
      <c r="G4" s="92" t="s">
        <v>51</v>
      </c>
      <c r="H4" s="92" t="s">
        <v>51</v>
      </c>
      <c r="I4" s="92" t="s">
        <v>51</v>
      </c>
      <c r="J4" s="92" t="s">
        <v>51</v>
      </c>
      <c r="K4" s="92" t="s">
        <v>51</v>
      </c>
      <c r="L4" s="92" t="s">
        <v>51</v>
      </c>
      <c r="M4" s="92" t="s">
        <v>51</v>
      </c>
      <c r="N4" s="92" t="s">
        <v>51</v>
      </c>
      <c r="O4" s="92" t="s">
        <v>51</v>
      </c>
      <c r="P4" s="92" t="s">
        <v>51</v>
      </c>
      <c r="Q4" s="92" t="s">
        <v>51</v>
      </c>
      <c r="R4" s="92" t="s">
        <v>51</v>
      </c>
      <c r="S4" s="92" t="s">
        <v>51</v>
      </c>
      <c r="T4" s="92" t="s">
        <v>51</v>
      </c>
      <c r="U4" s="92" t="s">
        <v>51</v>
      </c>
      <c r="V4" s="92" t="s">
        <v>51</v>
      </c>
      <c r="W4" s="92" t="s">
        <v>51</v>
      </c>
      <c r="X4" s="92" t="s">
        <v>51</v>
      </c>
      <c r="Y4" s="92" t="s">
        <v>51</v>
      </c>
    </row>
    <row r="5" spans="1:31" s="98" customFormat="1" ht="15.75" customHeight="1" x14ac:dyDescent="0.25">
      <c r="A5" s="95" t="s">
        <v>26</v>
      </c>
      <c r="B5" s="96"/>
      <c r="C5" s="97"/>
      <c r="D5" s="97"/>
      <c r="E5" s="97"/>
      <c r="F5" s="97"/>
      <c r="G5" s="97"/>
      <c r="H5" s="97"/>
      <c r="I5" s="97"/>
      <c r="J5" s="97"/>
      <c r="K5" s="97"/>
      <c r="L5" s="97"/>
      <c r="M5" s="97"/>
      <c r="N5" s="97"/>
      <c r="O5" s="97"/>
      <c r="P5" s="97"/>
      <c r="Q5" s="97"/>
      <c r="R5" s="97"/>
      <c r="S5" s="97"/>
      <c r="T5" s="97"/>
      <c r="U5" s="97"/>
      <c r="V5" s="97"/>
      <c r="W5" s="97"/>
      <c r="X5" s="97"/>
    </row>
    <row r="6" spans="1:31" s="101" customFormat="1" x14ac:dyDescent="0.25">
      <c r="A6" s="99" t="str">
        <f>+'Aggregated expenditure (Core)'!A6</f>
        <v>Core govt services</v>
      </c>
      <c r="B6" s="100">
        <f>IFERROR('Real (Core)'!B6*1000000/Population!D$2,0)</f>
        <v>652.96160219504429</v>
      </c>
      <c r="C6" s="100">
        <f>IFERROR('Real (Core)'!C6*1000000/Population!E$2,0)</f>
        <v>750.12792889257935</v>
      </c>
      <c r="D6" s="100">
        <f>IFERROR('Real (Core)'!D6*1000000/Population!F$2,0)</f>
        <v>549.71757077302641</v>
      </c>
      <c r="E6" s="100">
        <f>IFERROR('Real (Core)'!E6*1000000/Population!G$2,0)</f>
        <v>619.54888156629283</v>
      </c>
      <c r="F6" s="100">
        <f>IFERROR('Real (Core)'!F6*1000000/Population!H$2,0)</f>
        <v>644.10749038338179</v>
      </c>
      <c r="G6" s="100">
        <f>IFERROR('Real (Core)'!G6*1000000/Population!I$2,0)</f>
        <v>588.42553295408948</v>
      </c>
      <c r="H6" s="100">
        <f>IFERROR('Real (Core)'!H6*1000000/Population!J$2,0)</f>
        <v>641.25889838727892</v>
      </c>
      <c r="I6" s="100">
        <f>IFERROR('Real (Core)'!I6*1000000/Population!K$2,0)</f>
        <v>626.83494701268262</v>
      </c>
      <c r="J6" s="100">
        <f>IFERROR('Real (Core)'!J6*1000000/Population!L$2,0)</f>
        <v>634.68661918577948</v>
      </c>
      <c r="K6" s="100">
        <f>IFERROR('Real (Core)'!K6*1000000/Population!M$2,0)</f>
        <v>519.93257948076553</v>
      </c>
      <c r="L6" s="100">
        <f>IFERROR('Real (Core)'!L6*1000000/Population!N$2,0)</f>
        <v>694.79995083337667</v>
      </c>
      <c r="M6" s="100">
        <f>IFERROR('Real (Core)'!M6*1000000/Population!O$2,0)</f>
        <v>656.47118749164349</v>
      </c>
      <c r="N6" s="100">
        <f>IFERROR('Real (Core)'!N6*1000000/Population!P$2,0)</f>
        <v>774.590338924261</v>
      </c>
      <c r="O6" s="100">
        <f>IFERROR('Real (Core)'!O6*1000000/Population!Q$2,0)</f>
        <v>718.91660672508681</v>
      </c>
      <c r="P6" s="100">
        <f>IFERROR('Real (Core)'!P6*1000000/Population!R$2,0)</f>
        <v>1341.3991829608881</v>
      </c>
      <c r="Q6" s="100">
        <f>IFERROR('Real (Core)'!Q6*1000000/Population!S$2,0)</f>
        <v>895.03599852619527</v>
      </c>
      <c r="R6" s="100">
        <f>IFERROR('Real (Core)'!R6*1000000/Population!T$2,0)</f>
        <v>1365.6124974261195</v>
      </c>
      <c r="S6" s="100">
        <f>IFERROR('Real (Core)'!S6*1000000/Population!U$2,0)</f>
        <v>746.39440398450301</v>
      </c>
      <c r="T6" s="100">
        <f>IFERROR('Real (Core)'!T6*1000000/Population!V$2,0)</f>
        <v>1316.101467795588</v>
      </c>
      <c r="U6" s="100">
        <f>IFERROR('Real (Core)'!U6*1000000/Population!W$2,0)</f>
        <v>1265.1401160547741</v>
      </c>
      <c r="V6" s="100">
        <f>IFERROR('Real (Core)'!V6*1000000/Population!X$2,0)</f>
        <v>986.38766643281872</v>
      </c>
      <c r="W6" s="100">
        <f>IFERROR('Real (Core)'!W6*1000000/Population!Y$2,0)</f>
        <v>1002.4717486309884</v>
      </c>
      <c r="X6" s="100">
        <f>IFERROR('Real (Core)'!X6*1000000/Population!Z$2,0)</f>
        <v>899.52673665886959</v>
      </c>
      <c r="Y6" s="100">
        <f>IFERROR('Real (Core)'!Y6*1000000/Population!AA$2,0)</f>
        <v>870.44092331387878</v>
      </c>
      <c r="Z6" s="100">
        <f>IFERROR('Real (Core)'!Z6*1000000/Population!AB$2,0)</f>
        <v>841.06667437457008</v>
      </c>
      <c r="AA6" s="100">
        <f>IFERROR('Real (Core)'!AA6*1000000/Population!AC$2,0)</f>
        <v>944.74719356019239</v>
      </c>
      <c r="AB6" s="100">
        <f>IFERROR('Real (Core)'!AB6*1000000/Population!AD$2,0)</f>
        <v>857.77476321603899</v>
      </c>
      <c r="AC6" s="100">
        <f>IFERROR('Real (Core)'!AC6*1000000/Population!AE$2,0)</f>
        <v>846.93067684100834</v>
      </c>
      <c r="AD6" s="100">
        <f>IFERROR('Real (Core)'!AD6*1000000/Population!AF$2,0)</f>
        <v>826.30508707270133</v>
      </c>
      <c r="AE6" s="101" t="str">
        <f t="shared" ref="AE6:AE15" si="0">A6</f>
        <v>Core govt services</v>
      </c>
    </row>
    <row r="7" spans="1:31" s="102" customFormat="1" x14ac:dyDescent="0.25">
      <c r="A7" s="99" t="str">
        <f>+'Aggregated expenditure (Core)'!A7</f>
        <v>Defence</v>
      </c>
      <c r="B7" s="100">
        <f>IFERROR('Real (Core)'!B7*1000000/Population!D$2,0)</f>
        <v>523.17210339807866</v>
      </c>
      <c r="C7" s="100">
        <f>IFERROR('Real (Core)'!C7*1000000/Population!E$2,0)</f>
        <v>456.69425270360756</v>
      </c>
      <c r="D7" s="100">
        <f>IFERROR('Real (Core)'!D7*1000000/Population!F$2,0)</f>
        <v>415.57007402468338</v>
      </c>
      <c r="E7" s="100">
        <f>IFERROR('Real (Core)'!E7*1000000/Population!G$2,0)</f>
        <v>384.00154320722316</v>
      </c>
      <c r="F7" s="100">
        <f>IFERROR('Real (Core)'!F7*1000000/Population!H$2,0)</f>
        <v>365.52230708019147</v>
      </c>
      <c r="G7" s="100">
        <f>IFERROR('Real (Core)'!G7*1000000/Population!I$2,0)</f>
        <v>401.19922701415192</v>
      </c>
      <c r="H7" s="100">
        <f>IFERROR('Real (Core)'!H7*1000000/Population!J$2,0)</f>
        <v>387.38807351254968</v>
      </c>
      <c r="I7" s="100">
        <f>IFERROR('Real (Core)'!I7*1000000/Population!K$2,0)</f>
        <v>457.11297013147083</v>
      </c>
      <c r="J7" s="100">
        <f>IFERROR('Real (Core)'!J7*1000000/Population!L$2,0)</f>
        <v>438.42090157326925</v>
      </c>
      <c r="K7" s="100">
        <f>IFERROR('Real (Core)'!K7*1000000/Population!M$2,0)</f>
        <v>392.31276451730491</v>
      </c>
      <c r="L7" s="100">
        <f>IFERROR('Real (Core)'!L7*1000000/Population!N$2,0)</f>
        <v>391.11039485878814</v>
      </c>
      <c r="M7" s="100">
        <f>IFERROR('Real (Core)'!M7*1000000/Population!O$2,0)</f>
        <v>411.589539359897</v>
      </c>
      <c r="N7" s="100">
        <f>IFERROR('Real (Core)'!N7*1000000/Population!P$2,0)</f>
        <v>384.73030079019583</v>
      </c>
      <c r="O7" s="100">
        <f>IFERROR('Real (Core)'!O7*1000000/Population!Q$2,0)</f>
        <v>396.59420307171723</v>
      </c>
      <c r="P7" s="100">
        <f>IFERROR('Real (Core)'!P7*1000000/Population!R$2,0)</f>
        <v>422.52960144345252</v>
      </c>
      <c r="Q7" s="100">
        <f>IFERROR('Real (Core)'!Q7*1000000/Population!S$2,0)</f>
        <v>414.7274487386286</v>
      </c>
      <c r="R7" s="100">
        <f>IFERROR('Real (Core)'!R7*1000000/Population!T$2,0)</f>
        <v>453.31214018093556</v>
      </c>
      <c r="S7" s="100">
        <f>IFERROR('Real (Core)'!S7*1000000/Population!U$2,0)</f>
        <v>455.26545017750112</v>
      </c>
      <c r="T7" s="100">
        <f>IFERROR('Real (Core)'!T7*1000000/Population!V$2,0)</f>
        <v>427.97547281003392</v>
      </c>
      <c r="U7" s="100">
        <f>IFERROR('Real (Core)'!U7*1000000/Population!W$2,0)</f>
        <v>404.62108354294173</v>
      </c>
      <c r="V7" s="100">
        <f>IFERROR('Real (Core)'!V7*1000000/Population!X$2,0)</f>
        <v>414.40227066716466</v>
      </c>
      <c r="W7" s="100">
        <f>IFERROR('Real (Core)'!W7*1000000/Population!Y$2,0)</f>
        <v>403.25995930047088</v>
      </c>
      <c r="X7" s="100">
        <f>IFERROR('Real (Core)'!X7*1000000/Population!Z$2,0)</f>
        <v>426.69858020997663</v>
      </c>
      <c r="Y7" s="100">
        <f>IFERROR('Real (Core)'!Y7*1000000/Population!AA$2,0)</f>
        <v>429.91548284590891</v>
      </c>
      <c r="Z7" s="100">
        <f>IFERROR('Real (Core)'!Z7*1000000/Population!AB$2,0)</f>
        <v>436.38129907982795</v>
      </c>
      <c r="AA7" s="100">
        <f>IFERROR('Real (Core)'!AA7*1000000/Population!AC$2,0)</f>
        <v>447.82442410585821</v>
      </c>
      <c r="AB7" s="100">
        <f>IFERROR('Real (Core)'!AB7*1000000/Population!AD$2,0)</f>
        <v>462.67156787620792</v>
      </c>
      <c r="AC7" s="100">
        <f>IFERROR('Real (Core)'!AC7*1000000/Population!AE$2,0)</f>
        <v>463.00105772026399</v>
      </c>
      <c r="AD7" s="100">
        <f>IFERROR('Real (Core)'!AD7*1000000/Population!AF$2,0)</f>
        <v>463.81546338277712</v>
      </c>
      <c r="AE7" s="101" t="str">
        <f t="shared" si="0"/>
        <v>Defence</v>
      </c>
    </row>
    <row r="8" spans="1:31" s="102" customFormat="1" x14ac:dyDescent="0.25">
      <c r="A8" s="99" t="str">
        <f>+'Aggregated expenditure (Core)'!A8</f>
        <v>Education</v>
      </c>
      <c r="B8" s="100">
        <f>IFERROR('Real (Core)'!B8*1000000/Population!D$2,0)</f>
        <v>2024.4485740186519</v>
      </c>
      <c r="C8" s="100">
        <f>IFERROR('Real (Core)'!C8*1000000/Population!E$2,0)</f>
        <v>2014.4178334219182</v>
      </c>
      <c r="D8" s="100">
        <f>IFERROR('Real (Core)'!D8*1000000/Population!F$2,0)</f>
        <v>1970.3682779274968</v>
      </c>
      <c r="E8" s="100">
        <f>IFERROR('Real (Core)'!E8*1000000/Population!G$2,0)</f>
        <v>1959.1996261160282</v>
      </c>
      <c r="F8" s="100">
        <f>IFERROR('Real (Core)'!F8*1000000/Population!H$2,0)</f>
        <v>2061.3758015568937</v>
      </c>
      <c r="G8" s="100">
        <f>IFERROR('Real (Core)'!G8*1000000/Population!I$2,0)</f>
        <v>2152.5374489754595</v>
      </c>
      <c r="H8" s="100">
        <f>IFERROR('Real (Core)'!H8*1000000/Population!J$2,0)</f>
        <v>2218.6429569422626</v>
      </c>
      <c r="I8" s="100">
        <f>IFERROR('Real (Core)'!I8*1000000/Population!K$2,0)</f>
        <v>2313.0576114912437</v>
      </c>
      <c r="J8" s="100">
        <f>IFERROR('Real (Core)'!J8*1000000/Population!L$2,0)</f>
        <v>2165.9828116373428</v>
      </c>
      <c r="K8" s="100">
        <f>IFERROR('Real (Core)'!K8*1000000/Population!M$2,0)</f>
        <v>2185.4049266097372</v>
      </c>
      <c r="L8" s="100">
        <f>IFERROR('Real (Core)'!L8*1000000/Population!N$2,0)</f>
        <v>2288.5992746699394</v>
      </c>
      <c r="M8" s="100">
        <f>IFERROR('Real (Core)'!M8*1000000/Population!O$2,0)</f>
        <v>2381.3170526657655</v>
      </c>
      <c r="N8" s="100">
        <f>IFERROR('Real (Core)'!N8*1000000/Population!P$2,0)</f>
        <v>2392.871596287257</v>
      </c>
      <c r="O8" s="100">
        <f>IFERROR('Real (Core)'!O8*1000000/Population!Q$2,0)</f>
        <v>2842.9753646081017</v>
      </c>
      <c r="P8" s="100">
        <f>IFERROR('Real (Core)'!P8*1000000/Population!R$2,0)</f>
        <v>2581.6920736844831</v>
      </c>
      <c r="Q8" s="100">
        <f>IFERROR('Real (Core)'!Q8*1000000/Population!S$2,0)</f>
        <v>2535.8910774024598</v>
      </c>
      <c r="R8" s="100">
        <f>IFERROR('Real (Core)'!R8*1000000/Population!T$2,0)</f>
        <v>2955.4300317430943</v>
      </c>
      <c r="S8" s="100">
        <f>IFERROR('Real (Core)'!S8*1000000/Population!U$2,0)</f>
        <v>2942.4102193390427</v>
      </c>
      <c r="T8" s="100">
        <f>IFERROR('Real (Core)'!T8*1000000/Population!V$2,0)</f>
        <v>2756.1715081464317</v>
      </c>
      <c r="U8" s="100">
        <f>IFERROR('Real (Core)'!U8*1000000/Population!W$2,0)</f>
        <v>2716.275407609126</v>
      </c>
      <c r="V8" s="100">
        <f>IFERROR('Real (Core)'!V8*1000000/Population!X$2,0)</f>
        <v>2872.3314813870438</v>
      </c>
      <c r="W8" s="100">
        <f>IFERROR('Real (Core)'!W8*1000000/Population!Y$2,0)</f>
        <v>2738.8721697381511</v>
      </c>
      <c r="X8" s="100">
        <f>IFERROR('Real (Core)'!X8*1000000/Population!Z$2,0)</f>
        <v>2802.3717565141706</v>
      </c>
      <c r="Y8" s="100">
        <f>IFERROR('Real (Core)'!Y8*1000000/Population!AA$2,0)</f>
        <v>2792.1164478215546</v>
      </c>
      <c r="Z8" s="100">
        <f>IFERROR('Real (Core)'!Z8*1000000/Population!AB$2,0)</f>
        <v>2735.2559777374786</v>
      </c>
      <c r="AA8" s="100">
        <f>IFERROR('Real (Core)'!AA8*1000000/Population!AC$2,0)</f>
        <v>2727.3338932282504</v>
      </c>
      <c r="AB8" s="100">
        <f>IFERROR('Real (Core)'!AB8*1000000/Population!AD$2,0)</f>
        <v>2778.1289894547053</v>
      </c>
      <c r="AC8" s="100">
        <f>IFERROR('Real (Core)'!AC8*1000000/Population!AE$2,0)</f>
        <v>2786.1162374599958</v>
      </c>
      <c r="AD8" s="100">
        <f>IFERROR('Real (Core)'!AD8*1000000/Population!AF$2,0)</f>
        <v>2828.0255926950636</v>
      </c>
      <c r="AE8" s="101" t="str">
        <f t="shared" si="0"/>
        <v>Education</v>
      </c>
    </row>
    <row r="9" spans="1:31" s="102" customFormat="1" x14ac:dyDescent="0.25">
      <c r="A9" s="99" t="str">
        <f>+'Aggregated expenditure (Core)'!A9</f>
        <v>Finance costs</v>
      </c>
      <c r="B9" s="100">
        <f>IFERROR('Real (Core)'!B9*1000000/Population!D$2,0)</f>
        <v>1766.6536245181494</v>
      </c>
      <c r="C9" s="100">
        <f>IFERROR('Real (Core)'!C9*1000000/Population!E$2,0)</f>
        <v>1649.1495035665066</v>
      </c>
      <c r="D9" s="100">
        <f>IFERROR('Real (Core)'!D9*1000000/Population!F$2,0)</f>
        <v>1541.2603831300446</v>
      </c>
      <c r="E9" s="100">
        <f>IFERROR('Real (Core)'!E9*1000000/Population!G$2,0)</f>
        <v>1465.9357881405642</v>
      </c>
      <c r="F9" s="100">
        <f>IFERROR('Real (Core)'!F9*1000000/Population!H$2,0)</f>
        <v>1186.9815299686557</v>
      </c>
      <c r="G9" s="100">
        <f>IFERROR('Real (Core)'!G9*1000000/Population!I$2,0)</f>
        <v>1056.3029413593258</v>
      </c>
      <c r="H9" s="100">
        <f>IFERROR('Real (Core)'!H9*1000000/Population!J$2,0)</f>
        <v>946.27999316269404</v>
      </c>
      <c r="I9" s="100">
        <f>IFERROR('Real (Core)'!I9*1000000/Population!K$2,0)</f>
        <v>869.87095278426648</v>
      </c>
      <c r="J9" s="100">
        <f>IFERROR('Real (Core)'!J9*1000000/Population!L$2,0)</f>
        <v>813.30254204896323</v>
      </c>
      <c r="K9" s="100">
        <f>IFERROR('Real (Core)'!K9*1000000/Population!M$2,0)</f>
        <v>715.0761060651048</v>
      </c>
      <c r="L9" s="100">
        <f>IFERROR('Real (Core)'!L9*1000000/Population!N$2,0)</f>
        <v>769.82529763698074</v>
      </c>
      <c r="M9" s="100">
        <f>IFERROR('Real (Core)'!M9*1000000/Population!O$2,0)</f>
        <v>707.01727127268362</v>
      </c>
      <c r="N9" s="100">
        <f>IFERROR('Real (Core)'!N9*1000000/Population!P$2,0)</f>
        <v>686.1778070563962</v>
      </c>
      <c r="O9" s="100">
        <f>IFERROR('Real (Core)'!O9*1000000/Population!Q$2,0)</f>
        <v>675.61528737307719</v>
      </c>
      <c r="P9" s="100">
        <f>IFERROR('Real (Core)'!P9*1000000/Population!R$2,0)</f>
        <v>648.69574275662546</v>
      </c>
      <c r="Q9" s="100">
        <f>IFERROR('Real (Core)'!Q9*1000000/Population!S$2,0)</f>
        <v>653.15590518375564</v>
      </c>
      <c r="R9" s="100">
        <f>IFERROR('Real (Core)'!R9*1000000/Population!T$2,0)</f>
        <v>626.69048861667193</v>
      </c>
      <c r="S9" s="100">
        <f>IFERROR('Real (Core)'!S9*1000000/Population!U$2,0)</f>
        <v>579.99914848963897</v>
      </c>
      <c r="T9" s="100">
        <f>IFERROR('Real (Core)'!T9*1000000/Population!V$2,0)</f>
        <v>725.35809819544716</v>
      </c>
      <c r="U9" s="100">
        <f>IFERROR('Real (Core)'!U9*1000000/Population!W$2,0)</f>
        <v>818.33215686593803</v>
      </c>
      <c r="V9" s="100">
        <f>IFERROR('Real (Core)'!V9*1000000/Population!X$2,0)</f>
        <v>831.33138444815359</v>
      </c>
      <c r="W9" s="100">
        <f>IFERROR('Real (Core)'!W9*1000000/Population!Y$2,0)</f>
        <v>806.07457353269172</v>
      </c>
      <c r="X9" s="100">
        <f>IFERROR('Real (Core)'!X9*1000000/Population!Z$2,0)</f>
        <v>823.15182505575808</v>
      </c>
      <c r="Y9" s="100">
        <f>IFERROR('Real (Core)'!Y9*1000000/Population!AA$2,0)</f>
        <v>761.79495726397488</v>
      </c>
      <c r="Z9" s="100">
        <f>IFERROR('Real (Core)'!Z9*1000000/Population!AB$2,0)</f>
        <v>733.70951316702087</v>
      </c>
      <c r="AA9" s="100">
        <f>IFERROR('Real (Core)'!AA9*1000000/Population!AC$2,0)</f>
        <v>691.53435605736627</v>
      </c>
      <c r="AB9" s="100">
        <f>IFERROR('Real (Core)'!AB9*1000000/Population!AD$2,0)</f>
        <v>649.53438344997335</v>
      </c>
      <c r="AC9" s="100">
        <f>IFERROR('Real (Core)'!AC9*1000000/Population!AE$2,0)</f>
        <v>674.96412156513009</v>
      </c>
      <c r="AD9" s="100">
        <f>IFERROR('Real (Core)'!AD9*1000000/Population!AF$2,0)</f>
        <v>678.95448216724992</v>
      </c>
      <c r="AE9" s="101" t="str">
        <f t="shared" si="0"/>
        <v>Finance costs</v>
      </c>
    </row>
    <row r="10" spans="1:31" s="102" customFormat="1" x14ac:dyDescent="0.25">
      <c r="A10" s="99" t="str">
        <f>+'Aggregated expenditure (Core)'!A10</f>
        <v>Health</v>
      </c>
      <c r="B10" s="100">
        <f>IFERROR('Real (Core)'!B10*1000000/Population!D$2,0)</f>
        <v>1858.9781133531044</v>
      </c>
      <c r="C10" s="100">
        <f>IFERROR('Real (Core)'!C10*1000000/Population!E$2,0)</f>
        <v>2003.5337949876093</v>
      </c>
      <c r="D10" s="100">
        <f>IFERROR('Real (Core)'!D10*1000000/Population!F$2,0)</f>
        <v>2004.4179483559753</v>
      </c>
      <c r="E10" s="100">
        <f>IFERROR('Real (Core)'!E10*1000000/Population!G$2,0)</f>
        <v>2069.6495545230541</v>
      </c>
      <c r="F10" s="100">
        <f>IFERROR('Real (Core)'!F10*1000000/Population!H$2,0)</f>
        <v>2173.8144816418148</v>
      </c>
      <c r="G10" s="100">
        <f>IFERROR('Real (Core)'!G10*1000000/Population!I$2,0)</f>
        <v>2260.6540481802126</v>
      </c>
      <c r="H10" s="100">
        <f>IFERROR('Real (Core)'!H10*1000000/Population!J$2,0)</f>
        <v>2472.1376768912514</v>
      </c>
      <c r="I10" s="100">
        <f>IFERROR('Real (Core)'!I10*1000000/Population!K$2,0)</f>
        <v>2519.8031729620939</v>
      </c>
      <c r="J10" s="100">
        <f>IFERROR('Real (Core)'!J10*1000000/Population!L$2,0)</f>
        <v>2350.9526606102845</v>
      </c>
      <c r="K10" s="100">
        <f>IFERROR('Real (Core)'!K10*1000000/Population!M$2,0)</f>
        <v>2374.1337005900932</v>
      </c>
      <c r="L10" s="100">
        <f>IFERROR('Real (Core)'!L10*1000000/Population!N$2,0)</f>
        <v>2446.8048972775396</v>
      </c>
      <c r="M10" s="100">
        <f>IFERROR('Real (Core)'!M10*1000000/Population!O$2,0)</f>
        <v>2546.4551897392257</v>
      </c>
      <c r="N10" s="100">
        <f>IFERROR('Real (Core)'!N10*1000000/Population!P$2,0)</f>
        <v>2659.3161889129383</v>
      </c>
      <c r="O10" s="100">
        <f>IFERROR('Real (Core)'!O10*1000000/Population!Q$2,0)</f>
        <v>2737.733085123416</v>
      </c>
      <c r="P10" s="100">
        <f>IFERROR('Real (Core)'!P10*1000000/Population!R$2,0)</f>
        <v>2884.1753612043176</v>
      </c>
      <c r="Q10" s="100">
        <f>IFERROR('Real (Core)'!Q10*1000000/Population!S$2,0)</f>
        <v>2999.4724637645886</v>
      </c>
      <c r="R10" s="100">
        <f>IFERROR('Real (Core)'!R10*1000000/Population!T$2,0)</f>
        <v>3190.9872224005758</v>
      </c>
      <c r="S10" s="100">
        <f>IFERROR('Real (Core)'!S10*1000000/Population!U$2,0)</f>
        <v>3294.7766427399306</v>
      </c>
      <c r="T10" s="100">
        <f>IFERROR('Real (Core)'!T10*1000000/Population!V$2,0)</f>
        <v>3253.7018670847965</v>
      </c>
      <c r="U10" s="100">
        <f>IFERROR('Real (Core)'!U10*1000000/Population!W$2,0)</f>
        <v>3300.3655201428887</v>
      </c>
      <c r="V10" s="100">
        <f>IFERROR('Real (Core)'!V10*1000000/Population!X$2,0)</f>
        <v>3330.3792240202624</v>
      </c>
      <c r="W10" s="100">
        <f>IFERROR('Real (Core)'!W10*1000000/Population!Y$2,0)</f>
        <v>3317.3754133950388</v>
      </c>
      <c r="X10" s="100">
        <f>IFERROR('Real (Core)'!X10*1000000/Population!Z$2,0)</f>
        <v>3276.5054670075615</v>
      </c>
      <c r="Y10" s="100">
        <f>IFERROR('Real (Core)'!Y10*1000000/Population!AA$2,0)</f>
        <v>3315.8239560464822</v>
      </c>
      <c r="Z10" s="100">
        <f>IFERROR('Real (Core)'!Z10*1000000/Population!AB$2,0)</f>
        <v>3298.0119922959075</v>
      </c>
      <c r="AA10" s="100">
        <f>IFERROR('Real (Core)'!AA10*1000000/Population!AC$2,0)</f>
        <v>3336.5097345075278</v>
      </c>
      <c r="AB10" s="100">
        <f>IFERROR('Real (Core)'!AB10*1000000/Population!AD$2,0)</f>
        <v>3381.4725645606022</v>
      </c>
      <c r="AC10" s="100">
        <f>IFERROR('Real (Core)'!AC10*1000000/Population!AE$2,0)</f>
        <v>3376.663764902562</v>
      </c>
      <c r="AD10" s="100">
        <f>IFERROR('Real (Core)'!AD10*1000000/Population!AF$2,0)</f>
        <v>3367.8354358474803</v>
      </c>
      <c r="AE10" s="101" t="str">
        <f t="shared" si="0"/>
        <v>Health</v>
      </c>
    </row>
    <row r="11" spans="1:31" s="102" customFormat="1" x14ac:dyDescent="0.25">
      <c r="A11" s="99" t="str">
        <f>+'Aggregated expenditure (Core)'!A11</f>
        <v>Law and order</v>
      </c>
      <c r="B11" s="100">
        <f>IFERROR('Real (Core)'!B11*1000000/Population!D$2,0)</f>
        <v>470.09667261856333</v>
      </c>
      <c r="C11" s="100">
        <f>IFERROR('Real (Core)'!C11*1000000/Population!E$2,0)</f>
        <v>500.66576797821608</v>
      </c>
      <c r="D11" s="100">
        <f>IFERROR('Real (Core)'!D11*1000000/Population!F$2,0)</f>
        <v>488.18202180589657</v>
      </c>
      <c r="E11" s="100">
        <f>IFERROR('Real (Core)'!E11*1000000/Population!G$2,0)</f>
        <v>488.51330342032298</v>
      </c>
      <c r="F11" s="100">
        <f>IFERROR('Real (Core)'!F11*1000000/Population!H$2,0)</f>
        <v>494.96202470372651</v>
      </c>
      <c r="G11" s="100">
        <f>IFERROR('Real (Core)'!G11*1000000/Population!I$2,0)</f>
        <v>506.67883599439847</v>
      </c>
      <c r="H11" s="100">
        <f>IFERROR('Real (Core)'!H11*1000000/Population!J$2,0)</f>
        <v>563.78128368476894</v>
      </c>
      <c r="I11" s="100">
        <f>IFERROR('Real (Core)'!I11*1000000/Population!K$2,0)</f>
        <v>561.21889115579927</v>
      </c>
      <c r="J11" s="100">
        <f>IFERROR('Real (Core)'!J11*1000000/Population!L$2,0)</f>
        <v>543.96667417424146</v>
      </c>
      <c r="K11" s="100">
        <f>IFERROR('Real (Core)'!K11*1000000/Population!M$2,0)</f>
        <v>585.09296119491341</v>
      </c>
      <c r="L11" s="100">
        <f>IFERROR('Real (Core)'!L11*1000000/Population!N$2,0)</f>
        <v>565.62587546717145</v>
      </c>
      <c r="M11" s="100">
        <f>IFERROR('Real (Core)'!M11*1000000/Population!O$2,0)</f>
        <v>578.61138141898573</v>
      </c>
      <c r="N11" s="100">
        <f>IFERROR('Real (Core)'!N11*1000000/Population!P$2,0)</f>
        <v>596.55827816644478</v>
      </c>
      <c r="O11" s="100">
        <f>IFERROR('Real (Core)'!O11*1000000/Population!Q$2,0)</f>
        <v>640.91687915060595</v>
      </c>
      <c r="P11" s="100">
        <f>IFERROR('Real (Core)'!P11*1000000/Population!R$2,0)</f>
        <v>751.75174310868704</v>
      </c>
      <c r="Q11" s="100">
        <f>IFERROR('Real (Core)'!Q11*1000000/Population!S$2,0)</f>
        <v>768.3874754478818</v>
      </c>
      <c r="R11" s="100">
        <f>IFERROR('Real (Core)'!R11*1000000/Population!T$2,0)</f>
        <v>796.97279511605575</v>
      </c>
      <c r="S11" s="100">
        <f>IFERROR('Real (Core)'!S11*1000000/Population!U$2,0)</f>
        <v>800.85559620529557</v>
      </c>
      <c r="T11" s="100">
        <f>IFERROR('Real (Core)'!T11*1000000/Population!V$2,0)</f>
        <v>800.11777172113591</v>
      </c>
      <c r="U11" s="100">
        <f>IFERROR('Real (Core)'!U11*1000000/Population!W$2,0)</f>
        <v>793.15987747501765</v>
      </c>
      <c r="V11" s="100">
        <f>IFERROR('Real (Core)'!V11*1000000/Population!X$2,0)</f>
        <v>793.88816376148623</v>
      </c>
      <c r="W11" s="100">
        <f>IFERROR('Real (Core)'!W11*1000000/Population!Y$2,0)</f>
        <v>779.57654197181034</v>
      </c>
      <c r="X11" s="100">
        <f>IFERROR('Real (Core)'!X11*1000000/Population!Z$2,0)</f>
        <v>764.83707773486378</v>
      </c>
      <c r="Y11" s="100">
        <f>IFERROR('Real (Core)'!Y11*1000000/Population!AA$2,0)</f>
        <v>774.10250810556545</v>
      </c>
      <c r="Z11" s="100">
        <f>IFERROR('Real (Core)'!Z11*1000000/Population!AB$2,0)</f>
        <v>811.2111590673278</v>
      </c>
      <c r="AA11" s="100">
        <f>IFERROR('Real (Core)'!AA11*1000000/Population!AC$2,0)</f>
        <v>804.18338228028119</v>
      </c>
      <c r="AB11" s="100">
        <f>IFERROR('Real (Core)'!AB11*1000000/Population!AD$2,0)</f>
        <v>819.2187992263548</v>
      </c>
      <c r="AC11" s="100">
        <f>IFERROR('Real (Core)'!AC11*1000000/Population!AE$2,0)</f>
        <v>824.62847621037452</v>
      </c>
      <c r="AD11" s="100">
        <f>IFERROR('Real (Core)'!AD11*1000000/Population!AF$2,0)</f>
        <v>832.90553789776391</v>
      </c>
      <c r="AE11" s="101" t="str">
        <f t="shared" si="0"/>
        <v>Law and order</v>
      </c>
    </row>
    <row r="12" spans="1:31" s="102" customFormat="1" x14ac:dyDescent="0.25">
      <c r="A12" s="99" t="str">
        <f>+'Aggregated expenditure (Core)'!A12</f>
        <v>Welfare</v>
      </c>
      <c r="B12" s="100">
        <f>IFERROR('Real (Core)'!B12*1000000/Population!D$2,0)</f>
        <v>3081.9210813418786</v>
      </c>
      <c r="C12" s="100">
        <f>IFERROR('Real (Core)'!C12*1000000/Population!E$2,0)</f>
        <v>2840.7705779961238</v>
      </c>
      <c r="D12" s="100">
        <f>IFERROR('Real (Core)'!D12*1000000/Population!F$2,0)</f>
        <v>2785.0783935208915</v>
      </c>
      <c r="E12" s="100">
        <f>IFERROR('Real (Core)'!E12*1000000/Population!G$2,0)</f>
        <v>2858.2812209209037</v>
      </c>
      <c r="F12" s="100">
        <f>IFERROR('Real (Core)'!F12*1000000/Population!H$2,0)</f>
        <v>2910.8420697638462</v>
      </c>
      <c r="G12" s="100">
        <f>IFERROR('Real (Core)'!G12*1000000/Population!I$2,0)</f>
        <v>2788.8055188598751</v>
      </c>
      <c r="H12" s="100">
        <f>IFERROR('Real (Core)'!H12*1000000/Population!J$2,0)</f>
        <v>2946.78209317556</v>
      </c>
      <c r="I12" s="100">
        <f>IFERROR('Real (Core)'!I12*1000000/Population!K$2,0)</f>
        <v>2869.5110907691692</v>
      </c>
      <c r="J12" s="100">
        <f>IFERROR('Real (Core)'!J12*1000000/Population!L$2,0)</f>
        <v>2800.6694308231222</v>
      </c>
      <c r="K12" s="100">
        <f>IFERROR('Real (Core)'!K12*1000000/Population!M$2,0)</f>
        <v>2712.7651143687995</v>
      </c>
      <c r="L12" s="100">
        <f>IFERROR('Real (Core)'!L12*1000000/Population!N$2,0)</f>
        <v>2696.0195275295109</v>
      </c>
      <c r="M12" s="100">
        <f>IFERROR('Real (Core)'!M12*1000000/Population!O$2,0)</f>
        <v>2625.5707991356358</v>
      </c>
      <c r="N12" s="100">
        <f>IFERROR('Real (Core)'!N12*1000000/Population!P$2,0)</f>
        <v>2594.7418482312892</v>
      </c>
      <c r="O12" s="100">
        <f>IFERROR('Real (Core)'!O12*1000000/Population!Q$2,0)</f>
        <v>2633.6378604560023</v>
      </c>
      <c r="P12" s="100">
        <f>IFERROR('Real (Core)'!P12*1000000/Population!R$2,0)</f>
        <v>2773.599058123863</v>
      </c>
      <c r="Q12" s="100">
        <f>IFERROR('Real (Core)'!Q12*1000000/Population!S$2,0)</f>
        <v>2795.5603762925871</v>
      </c>
      <c r="R12" s="100">
        <f>IFERROR('Real (Core)'!R12*1000000/Population!T$2,0)</f>
        <v>3002.6446712724687</v>
      </c>
      <c r="S12" s="100">
        <f>IFERROR('Real (Core)'!S12*1000000/Population!U$2,0)</f>
        <v>3236.2998787424899</v>
      </c>
      <c r="T12" s="100">
        <f>IFERROR('Real (Core)'!T12*1000000/Population!V$2,0)</f>
        <v>3116.9579072814799</v>
      </c>
      <c r="U12" s="100">
        <f>IFERROR('Real (Core)'!U12*1000000/Population!W$2,0)</f>
        <v>2900.4059698204878</v>
      </c>
      <c r="V12" s="100">
        <f>IFERROR('Real (Core)'!V12*1000000/Population!X$2,0)</f>
        <v>2872.7909074077393</v>
      </c>
      <c r="W12" s="100">
        <f>IFERROR('Real (Core)'!W12*1000000/Population!Y$2,0)</f>
        <v>2754.0139020586548</v>
      </c>
      <c r="X12" s="100">
        <f>IFERROR('Real (Core)'!X12*1000000/Population!Z$2,0)</f>
        <v>2596.311809824294</v>
      </c>
      <c r="Y12" s="100">
        <f>IFERROR('Real (Core)'!Y12*1000000/Population!AA$2,0)</f>
        <v>2506.9207869405568</v>
      </c>
      <c r="Z12" s="100">
        <f>IFERROR('Real (Core)'!Z12*1000000/Population!AB$2,0)</f>
        <v>2527.903289233755</v>
      </c>
      <c r="AA12" s="100">
        <f>IFERROR('Real (Core)'!AA12*1000000/Population!AC$2,0)</f>
        <v>2504.6095443692361</v>
      </c>
      <c r="AB12" s="100">
        <f>IFERROR('Real (Core)'!AB12*1000000/Population!AD$2,0)</f>
        <v>2517.208183643329</v>
      </c>
      <c r="AC12" s="100">
        <f>IFERROR('Real (Core)'!AC12*1000000/Population!AE$2,0)</f>
        <v>2434.0732357698271</v>
      </c>
      <c r="AD12" s="100">
        <f>IFERROR('Real (Core)'!AD12*1000000/Population!AF$2,0)</f>
        <v>2389.5415892354999</v>
      </c>
      <c r="AE12" s="101" t="str">
        <f t="shared" si="0"/>
        <v>Welfare</v>
      </c>
    </row>
    <row r="13" spans="1:31" s="102" customFormat="1" x14ac:dyDescent="0.25">
      <c r="A13" s="99" t="str">
        <f>+'Aggregated expenditure (Core)'!A13</f>
        <v>NZ super</v>
      </c>
      <c r="B13" s="100">
        <f>IFERROR('Real (Core)'!B13*1000000/Population!D$2,0)</f>
        <v>2301.8900526037373</v>
      </c>
      <c r="C13" s="100">
        <f>IFERROR('Real (Core)'!C13*1000000/Population!E$2,0)</f>
        <v>2156.7445095012176</v>
      </c>
      <c r="D13" s="100">
        <f>IFERROR('Real (Core)'!D13*1000000/Population!F$2,0)</f>
        <v>2024.5401137499748</v>
      </c>
      <c r="E13" s="100">
        <f>IFERROR('Real (Core)'!E13*1000000/Population!G$2,0)</f>
        <v>1987.2640253228185</v>
      </c>
      <c r="F13" s="100">
        <f>IFERROR('Real (Core)'!F13*1000000/Population!H$2,0)</f>
        <v>1965.3646060839512</v>
      </c>
      <c r="G13" s="100">
        <f>IFERROR('Real (Core)'!G13*1000000/Population!I$2,0)</f>
        <v>1923.4960123326384</v>
      </c>
      <c r="H13" s="100">
        <f>IFERROR('Real (Core)'!H13*1000000/Population!J$2,0)</f>
        <v>1907.2280784292614</v>
      </c>
      <c r="I13" s="100">
        <f>IFERROR('Real (Core)'!I13*1000000/Population!K$2,0)</f>
        <v>1857.7774920820323</v>
      </c>
      <c r="J13" s="100">
        <f>IFERROR('Real (Core)'!J13*1000000/Population!L$2,0)</f>
        <v>1861.3473542639683</v>
      </c>
      <c r="K13" s="100">
        <f>IFERROR('Real (Core)'!K13*1000000/Population!M$2,0)</f>
        <v>1840.0211416689431</v>
      </c>
      <c r="L13" s="100">
        <f>IFERROR('Real (Core)'!L13*1000000/Population!N$2,0)</f>
        <v>1840.4043768084089</v>
      </c>
      <c r="M13" s="100">
        <f>IFERROR('Real (Core)'!M13*1000000/Population!O$2,0)</f>
        <v>1848.856443394686</v>
      </c>
      <c r="N13" s="100">
        <f>IFERROR('Real (Core)'!N13*1000000/Population!P$2,0)</f>
        <v>1835.5407213386361</v>
      </c>
      <c r="O13" s="100">
        <f>IFERROR('Real (Core)'!O13*1000000/Population!Q$2,0)</f>
        <v>1839.3023994952957</v>
      </c>
      <c r="P13" s="100">
        <f>IFERROR('Real (Core)'!P13*1000000/Population!R$2,0)</f>
        <v>1896.7874659392955</v>
      </c>
      <c r="Q13" s="100">
        <f>IFERROR('Real (Core)'!Q13*1000000/Population!S$2,0)</f>
        <v>1950.9713785732672</v>
      </c>
      <c r="R13" s="100">
        <f>IFERROR('Real (Core)'!R13*1000000/Population!T$2,0)</f>
        <v>1997.9790629261042</v>
      </c>
      <c r="S13" s="100">
        <f>IFERROR('Real (Core)'!S13*1000000/Population!U$2,0)</f>
        <v>2080.568126775901</v>
      </c>
      <c r="T13" s="100">
        <f>IFERROR('Real (Core)'!T13*1000000/Population!V$2,0)</f>
        <v>2089.0123963032611</v>
      </c>
      <c r="U13" s="100">
        <f>IFERROR('Real (Core)'!U13*1000000/Population!W$2,0)</f>
        <v>2233.8067192831527</v>
      </c>
      <c r="V13" s="100">
        <f>IFERROR('Real (Core)'!V13*1000000/Population!X$2,0)</f>
        <v>2351.1126609082212</v>
      </c>
      <c r="W13" s="100">
        <f>IFERROR('Real (Core)'!W13*1000000/Population!Y$2,0)</f>
        <v>2430.0253649067026</v>
      </c>
      <c r="X13" s="100">
        <f>IFERROR('Real (Core)'!X13*1000000/Population!Z$2,0)</f>
        <v>2522.1128216286788</v>
      </c>
      <c r="Y13" s="100">
        <f>IFERROR('Real (Core)'!Y13*1000000/Population!AA$2,0)</f>
        <v>2603.047002996429</v>
      </c>
      <c r="Z13" s="100">
        <f>IFERROR('Real (Core)'!Z13*1000000/Population!AB$2,0)</f>
        <v>2667.3653538881331</v>
      </c>
      <c r="AA13" s="100">
        <f>IFERROR('Real (Core)'!AA13*1000000/Population!AC$2,0)</f>
        <v>2706.5462873347424</v>
      </c>
      <c r="AB13" s="100">
        <f>IFERROR('Real (Core)'!AB13*1000000/Population!AD$2,0)</f>
        <v>2740.3365099004604</v>
      </c>
      <c r="AC13" s="100">
        <f>IFERROR('Real (Core)'!AC13*1000000/Population!AE$2,0)</f>
        <v>2794.963391429173</v>
      </c>
      <c r="AD13" s="100">
        <f>IFERROR('Real (Core)'!AD13*1000000/Population!AF$2,0)</f>
        <v>2840.6913226566703</v>
      </c>
      <c r="AE13" s="101" t="str">
        <f t="shared" si="0"/>
        <v>NZ super</v>
      </c>
    </row>
    <row r="14" spans="1:31" s="102" customFormat="1" x14ac:dyDescent="0.25">
      <c r="A14" s="99" t="str">
        <f>+'Aggregated expenditure (Core)'!A14</f>
        <v>All other</v>
      </c>
      <c r="B14" s="100">
        <f>IFERROR('Real (Core)'!B14*1000000/Population!D$2,0)</f>
        <v>1337.5900580484547</v>
      </c>
      <c r="C14" s="100">
        <f>IFERROR('Real (Core)'!C14*1000000/Population!E$2,0)</f>
        <v>531.57643713165385</v>
      </c>
      <c r="D14" s="100">
        <f>IFERROR('Real (Core)'!D14*1000000/Population!F$2,0)</f>
        <v>692.06980738365326</v>
      </c>
      <c r="E14" s="100">
        <f>IFERROR('Real (Core)'!E14*1000000/Population!G$2,0)</f>
        <v>733.95758876926982</v>
      </c>
      <c r="F14" s="100">
        <f>IFERROR('Real (Core)'!F14*1000000/Population!H$2,0)</f>
        <v>929.64764358873219</v>
      </c>
      <c r="G14" s="100">
        <f>IFERROR('Real (Core)'!G14*1000000/Population!I$2,0)</f>
        <v>1209.6250872698986</v>
      </c>
      <c r="H14" s="100">
        <f>IFERROR('Real (Core)'!H14*1000000/Population!J$2,0)</f>
        <v>1390.4599104620349</v>
      </c>
      <c r="I14" s="100">
        <f>IFERROR('Real (Core)'!I14*1000000/Population!K$2,0)</f>
        <v>1184.0215665795115</v>
      </c>
      <c r="J14" s="100">
        <f>IFERROR('Real (Core)'!J14*1000000/Population!L$2,0)</f>
        <v>1345.2673557936625</v>
      </c>
      <c r="K14" s="100">
        <f>IFERROR('Real (Core)'!K14*1000000/Population!M$2,0)</f>
        <v>1494.6373567281489</v>
      </c>
      <c r="L14" s="100">
        <f>IFERROR('Real (Core)'!L14*1000000/Population!N$2,0)</f>
        <v>1321.0984980634626</v>
      </c>
      <c r="M14" s="100">
        <f>IFERROR('Real (Core)'!M14*1000000/Population!O$2,0)</f>
        <v>1392.9998368725117</v>
      </c>
      <c r="N14" s="100">
        <f>IFERROR('Real (Core)'!N14*1000000/Population!P$2,0)</f>
        <v>1622.5057469403002</v>
      </c>
      <c r="O14" s="100">
        <f>IFERROR('Real (Core)'!O14*1000000/Population!Q$2,0)</f>
        <v>1657.4942109577191</v>
      </c>
      <c r="P14" s="100">
        <f>IFERROR('Real (Core)'!P14*1000000/Population!R$2,0)</f>
        <v>1740.8108167577971</v>
      </c>
      <c r="Q14" s="100">
        <f>IFERROR('Real (Core)'!Q14*1000000/Population!S$2,0)</f>
        <v>2120.1015865415811</v>
      </c>
      <c r="R14" s="100">
        <f>IFERROR('Real (Core)'!R14*1000000/Population!T$2,0)</f>
        <v>2123.1107578536817</v>
      </c>
      <c r="S14" s="100">
        <f>IFERROR('Real (Core)'!S14*1000000/Population!U$2,0)</f>
        <v>1928.9802922074277</v>
      </c>
      <c r="T14" s="100">
        <f>IFERROR('Real (Core)'!T14*1000000/Population!V$2,0)</f>
        <v>2181.7522444743686</v>
      </c>
      <c r="U14" s="100">
        <f>IFERROR('Real (Core)'!U14*1000000/Population!W$2,0)</f>
        <v>1667.8965863094993</v>
      </c>
      <c r="V14" s="100">
        <f>IFERROR('Real (Core)'!V14*1000000/Population!X$2,0)</f>
        <v>1697.5791464691501</v>
      </c>
      <c r="W14" s="100">
        <f>IFERROR('Real (Core)'!W14*1000000/Population!Y$2,0)</f>
        <v>1682.0683227806499</v>
      </c>
      <c r="X14" s="100">
        <f>IFERROR('Real (Core)'!X14*1000000/Population!Z$2,0)</f>
        <v>1634.1184790295381</v>
      </c>
      <c r="Y14" s="100">
        <f>IFERROR('Real (Core)'!Y14*1000000/Population!AA$2,0)</f>
        <v>1633.5090754925011</v>
      </c>
      <c r="Z14" s="100">
        <f>IFERROR('Real (Core)'!Z14*1000000/Population!AB$2,0)</f>
        <v>1789.6949997875638</v>
      </c>
      <c r="AA14" s="100">
        <f>IFERROR('Real (Core)'!AA14*1000000/Population!AC$2,0)</f>
        <v>1771.104022126882</v>
      </c>
      <c r="AB14" s="100">
        <f>IFERROR('Real (Core)'!AB14*1000000/Population!AD$2,0)</f>
        <v>1724.9022107662117</v>
      </c>
      <c r="AC14" s="100">
        <f>IFERROR('Real (Core)'!AC14*1000000/Population!AE$2,0)</f>
        <v>1692.9397751435636</v>
      </c>
      <c r="AD14" s="100">
        <f>IFERROR('Real (Core)'!AD14*1000000/Population!AF$2,0)</f>
        <v>1688.4666772761484</v>
      </c>
      <c r="AE14" s="101" t="str">
        <f t="shared" si="0"/>
        <v>All other</v>
      </c>
    </row>
    <row r="15" spans="1:31" x14ac:dyDescent="0.25">
      <c r="A15" s="99" t="str">
        <f>+'Aggregated expenditure (Core)'!A15</f>
        <v>Total core Crown expenses excluding losses</v>
      </c>
      <c r="B15" s="100">
        <f>IFERROR('Real (Core)'!B15*1000000/Population!D$2,0)</f>
        <v>14017.711882095664</v>
      </c>
      <c r="C15" s="100">
        <f>IFERROR('Real (Core)'!C15*1000000/Population!E$2,0)</f>
        <v>12903.680606179432</v>
      </c>
      <c r="D15" s="100">
        <f>IFERROR('Real (Core)'!D15*1000000/Population!F$2,0)</f>
        <v>12471.204590671643</v>
      </c>
      <c r="E15" s="100">
        <f>IFERROR('Real (Core)'!E15*1000000/Population!G$2,0)</f>
        <v>12566.351531986478</v>
      </c>
      <c r="F15" s="100">
        <f>IFERROR('Real (Core)'!F15*1000000/Population!H$2,0)</f>
        <v>12732.617954771193</v>
      </c>
      <c r="G15" s="100">
        <f>IFERROR('Real (Core)'!G15*1000000/Population!I$2,0)</f>
        <v>12887.724652940051</v>
      </c>
      <c r="H15" s="100">
        <f>IFERROR('Real (Core)'!H15*1000000/Population!J$2,0)</f>
        <v>13473.958964647663</v>
      </c>
      <c r="I15" s="100">
        <f>IFERROR('Real (Core)'!I15*1000000/Population!K$2,0)</f>
        <v>13259.208694968269</v>
      </c>
      <c r="J15" s="100">
        <f>IFERROR('Real (Core)'!J15*1000000/Population!L$2,0)</f>
        <v>12954.596350110634</v>
      </c>
      <c r="K15" s="100">
        <f>IFERROR('Real (Core)'!K15*1000000/Population!M$2,0)</f>
        <v>12819.376651223811</v>
      </c>
      <c r="L15" s="100">
        <f>IFERROR('Real (Core)'!L15*1000000/Population!N$2,0)</f>
        <v>13014.288093145176</v>
      </c>
      <c r="M15" s="100">
        <f>IFERROR('Real (Core)'!M15*1000000/Population!O$2,0)</f>
        <v>13148.888701351034</v>
      </c>
      <c r="N15" s="100">
        <f>IFERROR('Real (Core)'!N15*1000000/Population!P$2,0)</f>
        <v>13547.032826647719</v>
      </c>
      <c r="O15" s="100">
        <f>IFERROR('Real (Core)'!O15*1000000/Population!Q$2,0)</f>
        <v>14143.185896961022</v>
      </c>
      <c r="P15" s="100">
        <f>IFERROR('Real (Core)'!P15*1000000/Population!R$2,0)</f>
        <v>15041.441045979409</v>
      </c>
      <c r="Q15" s="100">
        <f>IFERROR('Real (Core)'!Q15*1000000/Population!S$2,0)</f>
        <v>15133.303710470944</v>
      </c>
      <c r="R15" s="100">
        <f>IFERROR('Real (Core)'!R15*1000000/Population!T$2,0)</f>
        <v>16512.739667535705</v>
      </c>
      <c r="S15" s="100">
        <f>IFERROR('Real (Core)'!S15*1000000/Population!U$2,0)</f>
        <v>16065.549758661731</v>
      </c>
      <c r="T15" s="100">
        <f>IFERROR('Real (Core)'!T15*1000000/Population!V$2,0)</f>
        <v>16667.148733812544</v>
      </c>
      <c r="U15" s="100">
        <f>IFERROR('Real (Core)'!U15*1000000/Population!W$2,0)</f>
        <v>16100.003437103825</v>
      </c>
      <c r="V15" s="100">
        <f>IFERROR('Real (Core)'!V15*1000000/Population!X$2,0)</f>
        <v>16150.202905502039</v>
      </c>
      <c r="W15" s="100">
        <f>IFERROR('Real (Core)'!W15*1000000/Population!Y$2,0)</f>
        <v>15913.737996315158</v>
      </c>
      <c r="X15" s="100">
        <f>IFERROR('Real (Core)'!X15*1000000/Population!Z$2,0)</f>
        <v>15745.634553663711</v>
      </c>
      <c r="Y15" s="100">
        <f>IFERROR('Real (Core)'!Y15*1000000/Population!AA$2,0)</f>
        <v>15687.671140826853</v>
      </c>
      <c r="Z15" s="100">
        <f>IFERROR('Real (Core)'!Z15*1000000/Population!AB$2,0)</f>
        <v>15840.600258631583</v>
      </c>
      <c r="AA15" s="100">
        <f>IFERROR('Real (Core)'!AA15*1000000/Population!AC$2,0)</f>
        <v>15934.392837570334</v>
      </c>
      <c r="AB15" s="100">
        <f>IFERROR('Real (Core)'!AB15*1000000/Population!AD$2,0)</f>
        <v>15931.247972093883</v>
      </c>
      <c r="AC15" s="100">
        <f>IFERROR('Real (Core)'!AC15*1000000/Population!AE$2,0)</f>
        <v>15894.2807370419</v>
      </c>
      <c r="AD15" s="100">
        <f>IFERROR('Real (Core)'!AD15*1000000/Population!AF$2,0)</f>
        <v>15916.541188231353</v>
      </c>
      <c r="AE15" s="101" t="str">
        <f t="shared" si="0"/>
        <v>Total core Crown expenses excluding losses</v>
      </c>
    </row>
    <row r="16" spans="1:31" x14ac:dyDescent="0.25">
      <c r="M16" s="103"/>
      <c r="N16" s="103"/>
      <c r="O16" s="103"/>
      <c r="P16" s="103"/>
      <c r="Q16" s="103"/>
      <c r="R16" s="103"/>
      <c r="S16" s="103"/>
      <c r="T16" s="103"/>
      <c r="U16" s="103"/>
      <c r="V16" s="103"/>
      <c r="W16" s="103"/>
      <c r="X16" s="103"/>
    </row>
    <row r="17" spans="1:32" x14ac:dyDescent="0.25">
      <c r="M17" s="103"/>
      <c r="N17" s="103"/>
      <c r="O17" s="103"/>
      <c r="P17" s="103"/>
      <c r="Q17" s="103"/>
      <c r="R17" s="103"/>
      <c r="S17" s="103"/>
      <c r="T17" s="103"/>
      <c r="U17" s="103"/>
      <c r="V17" s="103"/>
      <c r="W17" s="103"/>
      <c r="X17" s="103"/>
    </row>
    <row r="18" spans="1:32" x14ac:dyDescent="0.25">
      <c r="M18" s="103"/>
      <c r="N18" s="103"/>
      <c r="O18" s="103"/>
      <c r="P18" s="103"/>
      <c r="Q18" s="103"/>
      <c r="R18" s="103"/>
      <c r="S18" s="103"/>
      <c r="T18" s="103"/>
      <c r="U18" s="103"/>
      <c r="V18" s="103"/>
      <c r="W18" s="103"/>
      <c r="X18" s="103"/>
      <c r="Z18" s="191" t="s">
        <v>61</v>
      </c>
      <c r="AA18" s="191"/>
      <c r="AB18" s="191"/>
      <c r="AD18" s="191" t="s">
        <v>61</v>
      </c>
      <c r="AE18" s="191"/>
      <c r="AF18" s="191"/>
    </row>
    <row r="19" spans="1:32" x14ac:dyDescent="0.25">
      <c r="A19" s="104"/>
      <c r="M19" s="103"/>
      <c r="N19" s="103"/>
      <c r="O19" s="103"/>
      <c r="P19" s="103"/>
      <c r="Q19" s="103"/>
      <c r="R19" s="103"/>
      <c r="S19" s="103"/>
      <c r="T19" s="103"/>
      <c r="U19" s="103"/>
      <c r="V19" s="103"/>
      <c r="W19" s="103"/>
      <c r="X19" s="103"/>
      <c r="Z19" s="191"/>
      <c r="AA19" s="191"/>
      <c r="AB19" s="191"/>
      <c r="AD19" s="191"/>
      <c r="AE19" s="191"/>
      <c r="AF19" s="191"/>
    </row>
    <row r="20" spans="1:32" x14ac:dyDescent="0.25">
      <c r="M20" s="103"/>
      <c r="N20" s="103"/>
      <c r="O20" s="103"/>
      <c r="P20" s="103"/>
      <c r="Q20" s="103"/>
      <c r="R20" s="103"/>
      <c r="S20" s="103"/>
      <c r="T20" s="103"/>
      <c r="U20" s="103"/>
      <c r="V20" s="103"/>
      <c r="W20" s="103"/>
      <c r="X20" s="103"/>
      <c r="AA20" s="86" t="s">
        <v>62</v>
      </c>
      <c r="AB20" s="86" t="s">
        <v>63</v>
      </c>
      <c r="AE20" s="86" t="s">
        <v>62</v>
      </c>
      <c r="AF20" s="86" t="s">
        <v>63</v>
      </c>
    </row>
    <row r="21" spans="1:32" x14ac:dyDescent="0.25">
      <c r="Z21" s="107" t="str">
        <f>+A6</f>
        <v>Core govt services</v>
      </c>
      <c r="AA21" s="108">
        <f>+R54-I54</f>
        <v>3.5425098955953721E-2</v>
      </c>
      <c r="AB21" s="109">
        <f>+Y54-R54</f>
        <v>-2.7214871925992083E-2</v>
      </c>
      <c r="AD21" s="107" t="str">
        <f>+A6</f>
        <v>Core govt services</v>
      </c>
      <c r="AE21" s="108">
        <f>+(R6/I6)^(1/(YEAR($R$2)-YEAR($I$2)))-1</f>
        <v>9.0372576404791793E-2</v>
      </c>
      <c r="AF21" s="108">
        <f>+(Y6/R6)^(1/(YEAR($Y$2)-YEAR($R$2)))-1</f>
        <v>-6.2310978724503419E-2</v>
      </c>
    </row>
    <row r="22" spans="1:32" x14ac:dyDescent="0.25">
      <c r="A22" s="104"/>
      <c r="Q22" s="103"/>
      <c r="Z22" s="107" t="str">
        <f t="shared" ref="Z22:Z29" si="1">+A7</f>
        <v>Defence</v>
      </c>
      <c r="AA22" s="108">
        <f t="shared" ref="AA22:AA29" si="2">+R55-I55</f>
        <v>-7.0228648951800761E-3</v>
      </c>
      <c r="AB22" s="109">
        <f t="shared" ref="AB22:AB29" si="3">+Y55-R55</f>
        <v>-4.7595066442279732E-5</v>
      </c>
      <c r="AD22" s="107" t="str">
        <f t="shared" ref="AD22:AD27" si="4">+Z22</f>
        <v>Defence</v>
      </c>
      <c r="AE22" s="108">
        <f t="shared" ref="AE22:AE28" si="5">+(R7/I7)^(1/(YEAR($R$2)-YEAR($I$2)))-1</f>
        <v>-9.2730538522101114E-4</v>
      </c>
      <c r="AF22" s="108">
        <f t="shared" ref="AF22:AF28" si="6">+(Y7/R7)^(1/(YEAR($Y$2)-YEAR($R$2)))-1</f>
        <v>-7.5417460221363086E-3</v>
      </c>
    </row>
    <row r="23" spans="1:32" x14ac:dyDescent="0.25">
      <c r="A23" s="104"/>
      <c r="V23" s="103"/>
      <c r="Z23" s="107" t="str">
        <f t="shared" si="1"/>
        <v>Education</v>
      </c>
      <c r="AA23" s="108">
        <f t="shared" si="2"/>
        <v>4.529637570912709E-3</v>
      </c>
      <c r="AB23" s="109">
        <f t="shared" si="3"/>
        <v>-9.9720499467056967E-4</v>
      </c>
      <c r="AD23" s="107" t="str">
        <f t="shared" si="4"/>
        <v>Education</v>
      </c>
      <c r="AE23" s="108">
        <f t="shared" si="5"/>
        <v>2.7604567141058078E-2</v>
      </c>
      <c r="AF23" s="108">
        <f t="shared" si="6"/>
        <v>-8.0877276799427023E-3</v>
      </c>
    </row>
    <row r="24" spans="1:32" x14ac:dyDescent="0.25">
      <c r="A24" s="104"/>
      <c r="N24" s="103"/>
      <c r="O24" s="103"/>
      <c r="P24" s="103"/>
      <c r="V24" s="103"/>
      <c r="Z24" s="107" t="str">
        <f t="shared" si="1"/>
        <v>Finance costs</v>
      </c>
      <c r="AA24" s="108">
        <f t="shared" si="2"/>
        <v>-2.7653103711870027E-2</v>
      </c>
      <c r="AB24" s="109">
        <f t="shared" si="3"/>
        <v>1.0608165963668884E-2</v>
      </c>
      <c r="AD24" s="107" t="str">
        <f t="shared" si="4"/>
        <v>Finance costs</v>
      </c>
      <c r="AE24" s="108">
        <f t="shared" si="5"/>
        <v>-3.5776779345469856E-2</v>
      </c>
      <c r="AF24" s="108">
        <f t="shared" si="6"/>
        <v>2.8281781853568111E-2</v>
      </c>
    </row>
    <row r="25" spans="1:32" x14ac:dyDescent="0.25">
      <c r="Z25" s="107" t="str">
        <f t="shared" si="1"/>
        <v>Health</v>
      </c>
      <c r="AA25" s="108">
        <f t="shared" si="2"/>
        <v>3.2022149759839691E-3</v>
      </c>
      <c r="AB25" s="109">
        <f t="shared" si="3"/>
        <v>1.8120997144558448E-2</v>
      </c>
      <c r="AD25" s="107" t="str">
        <f t="shared" si="4"/>
        <v>Health</v>
      </c>
      <c r="AE25" s="108">
        <f t="shared" si="5"/>
        <v>2.6586107940236969E-2</v>
      </c>
      <c r="AF25" s="108">
        <f t="shared" si="6"/>
        <v>5.4973127291897406E-3</v>
      </c>
    </row>
    <row r="26" spans="1:32" x14ac:dyDescent="0.25">
      <c r="N26" s="103"/>
      <c r="O26" s="103"/>
      <c r="P26" s="103"/>
      <c r="Z26" s="107" t="str">
        <f t="shared" si="1"/>
        <v>Law and order</v>
      </c>
      <c r="AA26" s="108">
        <f t="shared" si="2"/>
        <v>5.9373909162668131E-3</v>
      </c>
      <c r="AB26" s="109">
        <f t="shared" si="3"/>
        <v>1.0805247339875576E-3</v>
      </c>
      <c r="AD26" s="107" t="str">
        <f t="shared" si="4"/>
        <v>Law and order</v>
      </c>
      <c r="AE26" s="108">
        <f t="shared" si="5"/>
        <v>3.9736926681164686E-2</v>
      </c>
      <c r="AF26" s="108">
        <f t="shared" si="6"/>
        <v>-4.1508242539640694E-3</v>
      </c>
    </row>
    <row r="27" spans="1:32" x14ac:dyDescent="0.25">
      <c r="N27" s="103"/>
      <c r="O27" s="103"/>
      <c r="P27" s="103"/>
      <c r="Z27" s="107" t="str">
        <f t="shared" si="1"/>
        <v>Welfare</v>
      </c>
      <c r="AA27" s="108">
        <f t="shared" si="2"/>
        <v>-3.4578398669463939E-2</v>
      </c>
      <c r="AB27" s="109">
        <f t="shared" si="3"/>
        <v>-2.2036095397908517E-2</v>
      </c>
      <c r="AD27" s="107" t="str">
        <f t="shared" si="4"/>
        <v>Welfare</v>
      </c>
      <c r="AE27" s="108">
        <f t="shared" si="5"/>
        <v>5.0518057580517528E-3</v>
      </c>
      <c r="AF27" s="108">
        <f t="shared" si="6"/>
        <v>-2.5447503001893024E-2</v>
      </c>
    </row>
    <row r="28" spans="1:32" x14ac:dyDescent="0.25">
      <c r="N28" s="103"/>
      <c r="O28" s="103"/>
      <c r="P28" s="103"/>
      <c r="Z28" s="107" t="str">
        <f t="shared" si="1"/>
        <v>NZ super</v>
      </c>
      <c r="AA28" s="108">
        <f t="shared" si="2"/>
        <v>-1.9116025747692098E-2</v>
      </c>
      <c r="AB28" s="109">
        <f t="shared" si="3"/>
        <v>4.4933254004460646E-2</v>
      </c>
      <c r="AD28" s="107" t="str">
        <f>+A44</f>
        <v>NZ super</v>
      </c>
      <c r="AE28" s="108">
        <f t="shared" si="5"/>
        <v>8.1166881044347772E-3</v>
      </c>
      <c r="AF28" s="108">
        <f t="shared" si="6"/>
        <v>3.8515567468452971E-2</v>
      </c>
    </row>
    <row r="29" spans="1:32" x14ac:dyDescent="0.25">
      <c r="N29" s="103"/>
      <c r="O29" s="103"/>
      <c r="P29" s="103"/>
      <c r="Z29" s="107" t="str">
        <f t="shared" si="1"/>
        <v>All other</v>
      </c>
      <c r="AA29" s="108">
        <f t="shared" si="2"/>
        <v>3.9276050605089013E-2</v>
      </c>
      <c r="AB29" s="109">
        <f t="shared" si="3"/>
        <v>-2.4447174461662238E-2</v>
      </c>
      <c r="AD29" s="107" t="str">
        <f t="shared" ref="AD29:AD30" si="7">+A45</f>
        <v>All other</v>
      </c>
      <c r="AE29" s="108">
        <f t="shared" ref="AE29:AE30" si="8">+(R14/I14)^(1/(YEAR($R$2)-YEAR($I$2)))-1</f>
        <v>6.7036379346840924E-2</v>
      </c>
      <c r="AF29" s="108">
        <f t="shared" ref="AF29:AF30" si="9">+(Y14/R14)^(1/(YEAR($Y$2)-YEAR($R$2)))-1</f>
        <v>-3.6757675086677044E-2</v>
      </c>
    </row>
    <row r="30" spans="1:32" x14ac:dyDescent="0.25">
      <c r="N30" s="103"/>
      <c r="O30" s="103"/>
      <c r="P30" s="103"/>
      <c r="Z30" s="107"/>
      <c r="AA30" s="108"/>
      <c r="AB30" s="109"/>
      <c r="AD30" s="107" t="str">
        <f t="shared" si="7"/>
        <v>Total core Crown expenses excluding losses</v>
      </c>
      <c r="AE30" s="108">
        <f t="shared" si="8"/>
        <v>2.4681885258446057E-2</v>
      </c>
      <c r="AF30" s="108">
        <f t="shared" si="9"/>
        <v>-7.2956931105800926E-3</v>
      </c>
    </row>
    <row r="31" spans="1:32" x14ac:dyDescent="0.25">
      <c r="A31" s="86" t="s">
        <v>52</v>
      </c>
      <c r="N31" s="103"/>
      <c r="O31" s="103"/>
      <c r="P31" s="103"/>
    </row>
    <row r="32" spans="1:32" x14ac:dyDescent="0.25">
      <c r="A32" s="189" t="s">
        <v>0</v>
      </c>
      <c r="B32" s="88">
        <v>34121</v>
      </c>
      <c r="C32" s="89">
        <v>34486</v>
      </c>
      <c r="D32" s="89">
        <v>34851</v>
      </c>
      <c r="E32" s="89">
        <v>35217</v>
      </c>
      <c r="F32" s="89">
        <v>35582</v>
      </c>
      <c r="G32" s="89">
        <v>35947</v>
      </c>
      <c r="H32" s="89">
        <v>36312</v>
      </c>
      <c r="I32" s="89">
        <v>36678</v>
      </c>
      <c r="J32" s="89">
        <v>37043</v>
      </c>
      <c r="K32" s="89">
        <v>37408</v>
      </c>
      <c r="L32" s="89">
        <v>37773</v>
      </c>
      <c r="M32" s="89">
        <v>38139</v>
      </c>
      <c r="N32" s="89">
        <v>38504</v>
      </c>
      <c r="O32" s="89">
        <v>38869</v>
      </c>
      <c r="P32" s="89">
        <v>39234</v>
      </c>
      <c r="Q32" s="89">
        <v>39600</v>
      </c>
      <c r="R32" s="89">
        <v>39965</v>
      </c>
      <c r="S32" s="89">
        <v>40330</v>
      </c>
      <c r="T32" s="89">
        <v>40695</v>
      </c>
      <c r="U32" s="89">
        <v>41061</v>
      </c>
      <c r="V32" s="89">
        <v>41426</v>
      </c>
      <c r="W32" s="89">
        <v>41791</v>
      </c>
      <c r="X32" s="89">
        <v>42156</v>
      </c>
      <c r="Y32" s="90">
        <v>42522</v>
      </c>
      <c r="Z32" s="167">
        <f>Z2</f>
        <v>42887</v>
      </c>
      <c r="AA32" s="167">
        <f>AA2</f>
        <v>43252</v>
      </c>
      <c r="AB32" s="167">
        <f>AB2</f>
        <v>43617</v>
      </c>
      <c r="AC32" s="167">
        <f>AC2</f>
        <v>43983</v>
      </c>
      <c r="AD32" s="167">
        <f>AD2</f>
        <v>44348</v>
      </c>
    </row>
    <row r="33" spans="1:30" x14ac:dyDescent="0.25">
      <c r="A33" s="190"/>
      <c r="B33" s="92" t="s">
        <v>59</v>
      </c>
      <c r="C33" s="92" t="s">
        <v>59</v>
      </c>
      <c r="D33" s="92" t="s">
        <v>59</v>
      </c>
      <c r="E33" s="92" t="s">
        <v>59</v>
      </c>
      <c r="F33" s="92" t="s">
        <v>59</v>
      </c>
      <c r="G33" s="92" t="s">
        <v>59</v>
      </c>
      <c r="H33" s="92" t="s">
        <v>59</v>
      </c>
      <c r="I33" s="92" t="s">
        <v>59</v>
      </c>
      <c r="J33" s="92" t="s">
        <v>59</v>
      </c>
      <c r="K33" s="92" t="s">
        <v>59</v>
      </c>
      <c r="L33" s="92" t="s">
        <v>59</v>
      </c>
      <c r="M33" s="92" t="s">
        <v>59</v>
      </c>
      <c r="N33" s="92" t="s">
        <v>59</v>
      </c>
      <c r="O33" s="92" t="s">
        <v>59</v>
      </c>
      <c r="P33" s="92" t="s">
        <v>59</v>
      </c>
      <c r="Q33" s="92" t="s">
        <v>59</v>
      </c>
      <c r="R33" s="92" t="s">
        <v>59</v>
      </c>
      <c r="S33" s="92" t="s">
        <v>59</v>
      </c>
      <c r="T33" s="92" t="s">
        <v>59</v>
      </c>
      <c r="U33" s="92" t="s">
        <v>59</v>
      </c>
      <c r="V33" s="92" t="s">
        <v>59</v>
      </c>
      <c r="W33" s="92" t="s">
        <v>59</v>
      </c>
      <c r="X33" s="92" t="s">
        <v>59</v>
      </c>
      <c r="Y33" s="92" t="s">
        <v>59</v>
      </c>
      <c r="Z33" s="92" t="s">
        <v>59</v>
      </c>
      <c r="AA33" s="92" t="s">
        <v>59</v>
      </c>
      <c r="AB33" s="92" t="s">
        <v>59</v>
      </c>
      <c r="AC33" s="92" t="s">
        <v>59</v>
      </c>
      <c r="AD33" s="92" t="s">
        <v>59</v>
      </c>
    </row>
    <row r="34" spans="1:30" x14ac:dyDescent="0.25">
      <c r="A34" s="190"/>
      <c r="B34" s="92" t="s">
        <v>53</v>
      </c>
      <c r="C34" s="92" t="s">
        <v>53</v>
      </c>
      <c r="D34" s="92" t="s">
        <v>53</v>
      </c>
      <c r="E34" s="92" t="s">
        <v>53</v>
      </c>
      <c r="F34" s="92" t="s">
        <v>53</v>
      </c>
      <c r="G34" s="92" t="s">
        <v>53</v>
      </c>
      <c r="H34" s="92" t="s">
        <v>53</v>
      </c>
      <c r="I34" s="92" t="s">
        <v>53</v>
      </c>
      <c r="J34" s="92" t="s">
        <v>53</v>
      </c>
      <c r="K34" s="92" t="s">
        <v>53</v>
      </c>
      <c r="L34" s="92" t="s">
        <v>53</v>
      </c>
      <c r="M34" s="92" t="s">
        <v>53</v>
      </c>
      <c r="N34" s="92" t="s">
        <v>53</v>
      </c>
      <c r="O34" s="92" t="s">
        <v>53</v>
      </c>
      <c r="P34" s="92" t="s">
        <v>53</v>
      </c>
      <c r="Q34" s="92" t="s">
        <v>53</v>
      </c>
      <c r="R34" s="92" t="s">
        <v>53</v>
      </c>
      <c r="S34" s="92" t="s">
        <v>53</v>
      </c>
      <c r="T34" s="92" t="s">
        <v>53</v>
      </c>
      <c r="U34" s="92" t="s">
        <v>53</v>
      </c>
      <c r="V34" s="92" t="s">
        <v>53</v>
      </c>
      <c r="W34" s="92" t="s">
        <v>53</v>
      </c>
      <c r="X34" s="92" t="s">
        <v>53</v>
      </c>
      <c r="Y34" s="92" t="s">
        <v>53</v>
      </c>
      <c r="Z34" s="92" t="s">
        <v>53</v>
      </c>
      <c r="AA34" s="92" t="s">
        <v>53</v>
      </c>
      <c r="AB34" s="92" t="s">
        <v>53</v>
      </c>
      <c r="AC34" s="92" t="s">
        <v>53</v>
      </c>
      <c r="AD34" s="92" t="s">
        <v>53</v>
      </c>
    </row>
    <row r="35" spans="1:30" x14ac:dyDescent="0.25">
      <c r="A35" s="190"/>
      <c r="B35" s="92" t="s">
        <v>54</v>
      </c>
      <c r="C35" s="92" t="s">
        <v>54</v>
      </c>
      <c r="D35" s="92" t="s">
        <v>54</v>
      </c>
      <c r="E35" s="92" t="s">
        <v>54</v>
      </c>
      <c r="F35" s="92" t="s">
        <v>54</v>
      </c>
      <c r="G35" s="92" t="s">
        <v>54</v>
      </c>
      <c r="H35" s="92" t="s">
        <v>54</v>
      </c>
      <c r="I35" s="92" t="s">
        <v>54</v>
      </c>
      <c r="J35" s="92" t="s">
        <v>54</v>
      </c>
      <c r="K35" s="92" t="s">
        <v>54</v>
      </c>
      <c r="L35" s="92" t="s">
        <v>54</v>
      </c>
      <c r="M35" s="92" t="s">
        <v>54</v>
      </c>
      <c r="N35" s="92" t="s">
        <v>54</v>
      </c>
      <c r="O35" s="92" t="s">
        <v>54</v>
      </c>
      <c r="P35" s="92" t="s">
        <v>54</v>
      </c>
      <c r="Q35" s="92" t="s">
        <v>54</v>
      </c>
      <c r="R35" s="92" t="s">
        <v>54</v>
      </c>
      <c r="S35" s="92" t="s">
        <v>54</v>
      </c>
      <c r="T35" s="92" t="s">
        <v>54</v>
      </c>
      <c r="U35" s="92" t="s">
        <v>54</v>
      </c>
      <c r="V35" s="92" t="s">
        <v>54</v>
      </c>
      <c r="W35" s="92" t="s">
        <v>54</v>
      </c>
      <c r="X35" s="92" t="s">
        <v>54</v>
      </c>
      <c r="Y35" s="92" t="s">
        <v>54</v>
      </c>
      <c r="Z35" s="92" t="s">
        <v>54</v>
      </c>
      <c r="AA35" s="92" t="s">
        <v>54</v>
      </c>
      <c r="AB35" s="92" t="s">
        <v>54</v>
      </c>
      <c r="AC35" s="92" t="s">
        <v>54</v>
      </c>
      <c r="AD35" s="92" t="s">
        <v>54</v>
      </c>
    </row>
    <row r="36" spans="1:30" x14ac:dyDescent="0.25">
      <c r="A36" s="95" t="s">
        <v>26</v>
      </c>
      <c r="B36" s="96"/>
      <c r="C36" s="97"/>
      <c r="D36" s="97"/>
      <c r="E36" s="97"/>
      <c r="F36" s="97"/>
      <c r="G36" s="97"/>
      <c r="H36" s="97"/>
      <c r="I36" s="97"/>
      <c r="J36" s="97"/>
      <c r="K36" s="97"/>
      <c r="L36" s="97"/>
      <c r="M36" s="97"/>
      <c r="N36" s="97"/>
      <c r="O36" s="97"/>
      <c r="P36" s="97"/>
      <c r="Q36" s="97"/>
      <c r="R36" s="97"/>
      <c r="S36" s="97"/>
      <c r="T36" s="97"/>
      <c r="U36" s="97"/>
      <c r="V36" s="97"/>
      <c r="W36" s="97"/>
      <c r="X36" s="97"/>
      <c r="Y36" s="98"/>
      <c r="Z36" s="98"/>
      <c r="AA36" s="98"/>
      <c r="AB36" s="98"/>
      <c r="AC36" s="98"/>
      <c r="AD36" s="98"/>
    </row>
    <row r="37" spans="1:30" x14ac:dyDescent="0.25">
      <c r="A37" s="99" t="str">
        <f t="shared" ref="A37:A46" si="10">+A6</f>
        <v>Core govt services</v>
      </c>
      <c r="B37" s="105">
        <f t="shared" ref="B37:X37" si="11">+B6/52.1429</f>
        <v>12.522540982474014</v>
      </c>
      <c r="C37" s="105">
        <f t="shared" si="11"/>
        <v>14.386003250539947</v>
      </c>
      <c r="D37" s="105">
        <f t="shared" si="11"/>
        <v>10.542520089466187</v>
      </c>
      <c r="E37" s="105">
        <f t="shared" si="11"/>
        <v>11.881749606682652</v>
      </c>
      <c r="F37" s="105">
        <f t="shared" si="11"/>
        <v>12.352736237980277</v>
      </c>
      <c r="G37" s="105">
        <f t="shared" si="11"/>
        <v>11.284863959505312</v>
      </c>
      <c r="H37" s="105">
        <f t="shared" si="11"/>
        <v>12.298105751449938</v>
      </c>
      <c r="I37" s="105">
        <f t="shared" si="11"/>
        <v>12.021482253819459</v>
      </c>
      <c r="J37" s="105">
        <f t="shared" si="11"/>
        <v>12.172062144333735</v>
      </c>
      <c r="K37" s="105">
        <f t="shared" si="11"/>
        <v>9.9713015478764238</v>
      </c>
      <c r="L37" s="105">
        <f t="shared" si="11"/>
        <v>13.32491961193905</v>
      </c>
      <c r="M37" s="105">
        <f t="shared" si="11"/>
        <v>12.589848042430388</v>
      </c>
      <c r="N37" s="105">
        <f t="shared" si="11"/>
        <v>14.855144975140643</v>
      </c>
      <c r="O37" s="105">
        <f t="shared" si="11"/>
        <v>13.787430440675276</v>
      </c>
      <c r="P37" s="105">
        <f t="shared" si="11"/>
        <v>25.725442638612126</v>
      </c>
      <c r="Q37" s="105">
        <f t="shared" si="11"/>
        <v>17.165059836069634</v>
      </c>
      <c r="R37" s="105">
        <f t="shared" si="11"/>
        <v>26.189807191892271</v>
      </c>
      <c r="S37" s="105">
        <f t="shared" si="11"/>
        <v>14.314401461838584</v>
      </c>
      <c r="T37" s="105">
        <f t="shared" si="11"/>
        <v>25.240281376670421</v>
      </c>
      <c r="U37" s="105">
        <f t="shared" si="11"/>
        <v>24.262941187674144</v>
      </c>
      <c r="V37" s="105">
        <f t="shared" si="11"/>
        <v>18.917008191581573</v>
      </c>
      <c r="W37" s="105">
        <f t="shared" si="11"/>
        <v>19.22546978842735</v>
      </c>
      <c r="X37" s="105">
        <f t="shared" si="11"/>
        <v>17.251183510293245</v>
      </c>
      <c r="Y37" s="105">
        <f t="shared" ref="Y37:AD46" si="12">+Y6/52.1429</f>
        <v>16.69337384982191</v>
      </c>
      <c r="Z37" s="105">
        <f t="shared" si="12"/>
        <v>16.130032552362263</v>
      </c>
      <c r="AA37" s="105">
        <f t="shared" si="12"/>
        <v>18.118424436695935</v>
      </c>
      <c r="AB37" s="105">
        <f t="shared" si="12"/>
        <v>16.45046139006536</v>
      </c>
      <c r="AC37" s="105">
        <f t="shared" si="12"/>
        <v>16.242492781203353</v>
      </c>
      <c r="AD37" s="105">
        <f t="shared" si="12"/>
        <v>15.846933850489739</v>
      </c>
    </row>
    <row r="38" spans="1:30" x14ac:dyDescent="0.25">
      <c r="A38" s="99" t="str">
        <f t="shared" si="10"/>
        <v>Defence</v>
      </c>
      <c r="B38" s="105">
        <f t="shared" ref="B38:X38" si="13">+B7/52.1429</f>
        <v>10.033429352760946</v>
      </c>
      <c r="C38" s="105">
        <f t="shared" si="13"/>
        <v>8.7585127160861322</v>
      </c>
      <c r="D38" s="105">
        <f t="shared" si="13"/>
        <v>7.9698304855442137</v>
      </c>
      <c r="E38" s="105">
        <f t="shared" si="13"/>
        <v>7.3644071044614545</v>
      </c>
      <c r="F38" s="105">
        <f t="shared" si="13"/>
        <v>7.010011086460314</v>
      </c>
      <c r="G38" s="105">
        <f t="shared" si="13"/>
        <v>7.6942254269354393</v>
      </c>
      <c r="H38" s="105">
        <f t="shared" si="13"/>
        <v>7.4293542076207828</v>
      </c>
      <c r="I38" s="105">
        <f t="shared" si="13"/>
        <v>8.7665429067326688</v>
      </c>
      <c r="J38" s="105">
        <f t="shared" si="13"/>
        <v>8.4080651742283088</v>
      </c>
      <c r="K38" s="105">
        <f t="shared" si="13"/>
        <v>7.5238002588522104</v>
      </c>
      <c r="L38" s="105">
        <f t="shared" si="13"/>
        <v>7.5007411336689778</v>
      </c>
      <c r="M38" s="105">
        <f t="shared" si="13"/>
        <v>7.8934915273200579</v>
      </c>
      <c r="N38" s="105">
        <f t="shared" si="13"/>
        <v>7.3783832657983321</v>
      </c>
      <c r="O38" s="105">
        <f t="shared" si="13"/>
        <v>7.6059099718603536</v>
      </c>
      <c r="P38" s="105">
        <f t="shared" si="13"/>
        <v>8.1033007646957209</v>
      </c>
      <c r="Q38" s="105">
        <f t="shared" si="13"/>
        <v>7.953670561833512</v>
      </c>
      <c r="R38" s="105">
        <f t="shared" si="13"/>
        <v>8.6936503374560221</v>
      </c>
      <c r="S38" s="105">
        <f t="shared" si="13"/>
        <v>8.7311110463265589</v>
      </c>
      <c r="T38" s="105">
        <f t="shared" si="13"/>
        <v>8.2077420475277343</v>
      </c>
      <c r="U38" s="105">
        <f t="shared" si="13"/>
        <v>7.7598500187550323</v>
      </c>
      <c r="V38" s="105">
        <f t="shared" si="13"/>
        <v>7.9474342751777263</v>
      </c>
      <c r="W38" s="105">
        <f t="shared" si="13"/>
        <v>7.7337462876148217</v>
      </c>
      <c r="X38" s="105">
        <f t="shared" si="13"/>
        <v>8.1832537164211558</v>
      </c>
      <c r="Y38" s="105">
        <f t="shared" si="12"/>
        <v>8.2449476888686455</v>
      </c>
      <c r="Z38" s="105">
        <f t="shared" si="12"/>
        <v>8.3689495421203652</v>
      </c>
      <c r="AA38" s="105">
        <f t="shared" si="12"/>
        <v>8.5884065540247718</v>
      </c>
      <c r="AB38" s="105">
        <f t="shared" si="12"/>
        <v>8.87314606353325</v>
      </c>
      <c r="AC38" s="105">
        <f t="shared" si="12"/>
        <v>8.879465041650235</v>
      </c>
      <c r="AD38" s="105">
        <f t="shared" si="12"/>
        <v>8.8950837675460548</v>
      </c>
    </row>
    <row r="39" spans="1:30" x14ac:dyDescent="0.25">
      <c r="A39" s="99" t="str">
        <f t="shared" si="10"/>
        <v>Education</v>
      </c>
      <c r="B39" s="105">
        <f t="shared" ref="B39:X39" si="14">+B8/52.1429</f>
        <v>38.825009234596692</v>
      </c>
      <c r="C39" s="105">
        <f t="shared" si="14"/>
        <v>38.632639025100602</v>
      </c>
      <c r="D39" s="105">
        <f t="shared" si="14"/>
        <v>37.787853723661264</v>
      </c>
      <c r="E39" s="105">
        <f t="shared" si="14"/>
        <v>37.573660577298696</v>
      </c>
      <c r="F39" s="105">
        <f t="shared" si="14"/>
        <v>39.533202057363397</v>
      </c>
      <c r="G39" s="105">
        <f t="shared" si="14"/>
        <v>41.281506187332496</v>
      </c>
      <c r="H39" s="105">
        <f t="shared" si="14"/>
        <v>42.549282010441743</v>
      </c>
      <c r="I39" s="105">
        <f t="shared" si="14"/>
        <v>44.359972527251912</v>
      </c>
      <c r="J39" s="105">
        <f t="shared" si="14"/>
        <v>41.539362245623906</v>
      </c>
      <c r="K39" s="105">
        <f t="shared" si="14"/>
        <v>41.911840856755902</v>
      </c>
      <c r="L39" s="105">
        <f t="shared" si="14"/>
        <v>43.890908918950416</v>
      </c>
      <c r="M39" s="105">
        <f t="shared" si="14"/>
        <v>45.669056624502389</v>
      </c>
      <c r="N39" s="105">
        <f t="shared" si="14"/>
        <v>45.890650429631975</v>
      </c>
      <c r="O39" s="105">
        <f t="shared" si="14"/>
        <v>54.522770398426282</v>
      </c>
      <c r="P39" s="105">
        <f t="shared" si="14"/>
        <v>49.511862088308924</v>
      </c>
      <c r="Q39" s="105">
        <f t="shared" si="14"/>
        <v>48.633487539098518</v>
      </c>
      <c r="R39" s="105">
        <f t="shared" si="14"/>
        <v>56.679433474990738</v>
      </c>
      <c r="S39" s="105">
        <f t="shared" si="14"/>
        <v>56.42973864781289</v>
      </c>
      <c r="T39" s="105">
        <f t="shared" si="14"/>
        <v>52.85804027291217</v>
      </c>
      <c r="U39" s="105">
        <f t="shared" si="14"/>
        <v>52.092910206550194</v>
      </c>
      <c r="V39" s="105">
        <f t="shared" si="14"/>
        <v>55.085763956109922</v>
      </c>
      <c r="W39" s="105">
        <f t="shared" si="14"/>
        <v>52.526272411740642</v>
      </c>
      <c r="X39" s="105">
        <f t="shared" si="14"/>
        <v>53.744071705144336</v>
      </c>
      <c r="Y39" s="105">
        <f t="shared" si="12"/>
        <v>53.54739471378759</v>
      </c>
      <c r="Z39" s="105">
        <f t="shared" si="12"/>
        <v>52.45692084133178</v>
      </c>
      <c r="AA39" s="105">
        <f t="shared" si="12"/>
        <v>52.304990578357753</v>
      </c>
      <c r="AB39" s="105">
        <f t="shared" si="12"/>
        <v>53.279142308055469</v>
      </c>
      <c r="AC39" s="105">
        <f t="shared" si="12"/>
        <v>53.432322280885721</v>
      </c>
      <c r="AD39" s="105">
        <f t="shared" si="12"/>
        <v>54.236062679579838</v>
      </c>
    </row>
    <row r="40" spans="1:30" x14ac:dyDescent="0.25">
      <c r="A40" s="99" t="str">
        <f t="shared" si="10"/>
        <v>Finance costs</v>
      </c>
      <c r="B40" s="105">
        <f t="shared" ref="B40:X40" si="15">+B9/52.1429</f>
        <v>33.881000568018841</v>
      </c>
      <c r="C40" s="105">
        <f t="shared" si="15"/>
        <v>31.627498730728568</v>
      </c>
      <c r="D40" s="105">
        <f t="shared" si="15"/>
        <v>29.558394012033176</v>
      </c>
      <c r="E40" s="105">
        <f t="shared" si="15"/>
        <v>28.113813925588417</v>
      </c>
      <c r="F40" s="105">
        <f t="shared" si="15"/>
        <v>22.764010631718904</v>
      </c>
      <c r="G40" s="105">
        <f t="shared" si="15"/>
        <v>20.257847978522978</v>
      </c>
      <c r="H40" s="105">
        <f t="shared" si="15"/>
        <v>18.147820569295035</v>
      </c>
      <c r="I40" s="105">
        <f t="shared" si="15"/>
        <v>16.682442917142438</v>
      </c>
      <c r="J40" s="105">
        <f t="shared" si="15"/>
        <v>15.597570178278602</v>
      </c>
      <c r="K40" s="105">
        <f t="shared" si="15"/>
        <v>13.713777063897574</v>
      </c>
      <c r="L40" s="105">
        <f t="shared" si="15"/>
        <v>14.763760696796318</v>
      </c>
      <c r="M40" s="105">
        <f t="shared" si="15"/>
        <v>13.559224194908293</v>
      </c>
      <c r="N40" s="105">
        <f t="shared" si="15"/>
        <v>13.159563565823847</v>
      </c>
      <c r="O40" s="105">
        <f t="shared" si="15"/>
        <v>12.956994861679677</v>
      </c>
      <c r="P40" s="105">
        <f t="shared" si="15"/>
        <v>12.4407300467873</v>
      </c>
      <c r="Q40" s="105">
        <f t="shared" si="15"/>
        <v>12.526267338098872</v>
      </c>
      <c r="R40" s="105">
        <f t="shared" si="15"/>
        <v>12.018711821104541</v>
      </c>
      <c r="S40" s="105">
        <f t="shared" si="15"/>
        <v>11.1232621984899</v>
      </c>
      <c r="T40" s="105">
        <f t="shared" si="15"/>
        <v>13.910965791995597</v>
      </c>
      <c r="U40" s="105">
        <f t="shared" si="15"/>
        <v>15.694028465350758</v>
      </c>
      <c r="V40" s="105">
        <f t="shared" si="15"/>
        <v>15.943328515448002</v>
      </c>
      <c r="W40" s="105">
        <f t="shared" si="15"/>
        <v>15.458951717926922</v>
      </c>
      <c r="X40" s="105">
        <f t="shared" si="15"/>
        <v>15.786460382060801</v>
      </c>
      <c r="Y40" s="105">
        <f t="shared" si="12"/>
        <v>14.60975429567544</v>
      </c>
      <c r="Z40" s="105">
        <f t="shared" si="12"/>
        <v>14.07112978309647</v>
      </c>
      <c r="AA40" s="105">
        <f t="shared" si="12"/>
        <v>13.262291818394571</v>
      </c>
      <c r="AB40" s="105">
        <f t="shared" si="12"/>
        <v>12.456813553714376</v>
      </c>
      <c r="AC40" s="105">
        <f t="shared" si="12"/>
        <v>12.944506760558582</v>
      </c>
      <c r="AD40" s="105">
        <f t="shared" si="12"/>
        <v>13.021034161261648</v>
      </c>
    </row>
    <row r="41" spans="1:30" x14ac:dyDescent="0.25">
      <c r="A41" s="99" t="str">
        <f t="shared" si="10"/>
        <v>Health</v>
      </c>
      <c r="B41" s="105">
        <f t="shared" ref="B41:X41" si="16">+B10/52.1429</f>
        <v>35.651605747917827</v>
      </c>
      <c r="C41" s="105">
        <f t="shared" si="16"/>
        <v>38.423904212991786</v>
      </c>
      <c r="D41" s="105">
        <f t="shared" si="16"/>
        <v>38.440860565023719</v>
      </c>
      <c r="E41" s="105">
        <f t="shared" si="16"/>
        <v>39.691876641365447</v>
      </c>
      <c r="F41" s="105">
        <f t="shared" si="16"/>
        <v>41.689558533219575</v>
      </c>
      <c r="G41" s="105">
        <f t="shared" si="16"/>
        <v>43.354973508957357</v>
      </c>
      <c r="H41" s="105">
        <f t="shared" si="16"/>
        <v>47.41082058902078</v>
      </c>
      <c r="I41" s="105">
        <f t="shared" si="16"/>
        <v>48.324952639037988</v>
      </c>
      <c r="J41" s="105">
        <f t="shared" si="16"/>
        <v>45.086726296586583</v>
      </c>
      <c r="K41" s="105">
        <f t="shared" si="16"/>
        <v>45.531293821212351</v>
      </c>
      <c r="L41" s="105">
        <f t="shared" si="16"/>
        <v>46.924986858758139</v>
      </c>
      <c r="M41" s="105">
        <f t="shared" si="16"/>
        <v>48.836086787256285</v>
      </c>
      <c r="N41" s="105">
        <f t="shared" si="16"/>
        <v>51.000542526651536</v>
      </c>
      <c r="O41" s="105">
        <f t="shared" si="16"/>
        <v>52.504426971331021</v>
      </c>
      <c r="P41" s="105">
        <f t="shared" si="16"/>
        <v>55.312906670022528</v>
      </c>
      <c r="Q41" s="105">
        <f t="shared" si="16"/>
        <v>57.524082161993078</v>
      </c>
      <c r="R41" s="105">
        <f t="shared" si="16"/>
        <v>61.196964925245354</v>
      </c>
      <c r="S41" s="105">
        <f t="shared" si="16"/>
        <v>63.187445323139499</v>
      </c>
      <c r="T41" s="105">
        <f t="shared" si="16"/>
        <v>62.399710547069624</v>
      </c>
      <c r="U41" s="105">
        <f t="shared" si="16"/>
        <v>63.294629185236893</v>
      </c>
      <c r="V41" s="105">
        <f t="shared" si="16"/>
        <v>63.870233991977095</v>
      </c>
      <c r="W41" s="105">
        <f t="shared" si="16"/>
        <v>63.620846047976599</v>
      </c>
      <c r="X41" s="105">
        <f t="shared" si="16"/>
        <v>62.837039501208444</v>
      </c>
      <c r="Y41" s="105">
        <f t="shared" si="12"/>
        <v>63.591092095884242</v>
      </c>
      <c r="Z41" s="105">
        <f t="shared" si="12"/>
        <v>63.249493071845016</v>
      </c>
      <c r="AA41" s="105">
        <f t="shared" si="12"/>
        <v>63.98780532934547</v>
      </c>
      <c r="AB41" s="105">
        <f t="shared" si="12"/>
        <v>64.850105470938558</v>
      </c>
      <c r="AC41" s="105">
        <f t="shared" si="12"/>
        <v>64.75788199165298</v>
      </c>
      <c r="AD41" s="105">
        <f t="shared" si="12"/>
        <v>64.588571710577668</v>
      </c>
    </row>
    <row r="42" spans="1:30" x14ac:dyDescent="0.25">
      <c r="A42" s="99" t="str">
        <f t="shared" si="10"/>
        <v>Law and order</v>
      </c>
      <c r="B42" s="105">
        <f t="shared" ref="B42:X42" si="17">+B11/52.1429</f>
        <v>9.015545215524325</v>
      </c>
      <c r="C42" s="105">
        <f t="shared" si="17"/>
        <v>9.601801357005769</v>
      </c>
      <c r="D42" s="105">
        <f t="shared" si="17"/>
        <v>9.362387243630419</v>
      </c>
      <c r="E42" s="105">
        <f t="shared" si="17"/>
        <v>9.3687405844385907</v>
      </c>
      <c r="F42" s="105">
        <f t="shared" si="17"/>
        <v>9.4924145895937233</v>
      </c>
      <c r="G42" s="105">
        <f t="shared" si="17"/>
        <v>9.7171203748621284</v>
      </c>
      <c r="H42" s="105">
        <f t="shared" si="17"/>
        <v>10.812234909925781</v>
      </c>
      <c r="I42" s="105">
        <f t="shared" si="17"/>
        <v>10.763093175788061</v>
      </c>
      <c r="J42" s="105">
        <f t="shared" si="17"/>
        <v>10.432229012468456</v>
      </c>
      <c r="K42" s="105">
        <f t="shared" si="17"/>
        <v>11.220951676928468</v>
      </c>
      <c r="L42" s="105">
        <f t="shared" si="17"/>
        <v>10.847610613663058</v>
      </c>
      <c r="M42" s="105">
        <f t="shared" si="17"/>
        <v>11.096647509420952</v>
      </c>
      <c r="N42" s="105">
        <f t="shared" si="17"/>
        <v>11.440834287437884</v>
      </c>
      <c r="O42" s="105">
        <f t="shared" si="17"/>
        <v>12.291546483809032</v>
      </c>
      <c r="P42" s="105">
        <f t="shared" si="17"/>
        <v>14.417144867444792</v>
      </c>
      <c r="Q42" s="105">
        <f t="shared" si="17"/>
        <v>14.736186047340709</v>
      </c>
      <c r="R42" s="105">
        <f t="shared" si="17"/>
        <v>15.284397206830763</v>
      </c>
      <c r="S42" s="105">
        <f t="shared" si="17"/>
        <v>15.358861824050745</v>
      </c>
      <c r="T42" s="105">
        <f t="shared" si="17"/>
        <v>15.344711777080599</v>
      </c>
      <c r="U42" s="105">
        <f t="shared" si="17"/>
        <v>15.21127281902268</v>
      </c>
      <c r="V42" s="105">
        <f t="shared" si="17"/>
        <v>15.225239941803894</v>
      </c>
      <c r="W42" s="105">
        <f t="shared" si="17"/>
        <v>14.950770708414959</v>
      </c>
      <c r="X42" s="105">
        <f t="shared" si="17"/>
        <v>14.668096284151128</v>
      </c>
      <c r="Y42" s="105">
        <f t="shared" si="12"/>
        <v>14.845789323293593</v>
      </c>
      <c r="Z42" s="105">
        <f t="shared" si="12"/>
        <v>15.557461496528346</v>
      </c>
      <c r="AA42" s="105">
        <f t="shared" si="12"/>
        <v>15.422682326458276</v>
      </c>
      <c r="AB42" s="105">
        <f t="shared" si="12"/>
        <v>15.711032551437585</v>
      </c>
      <c r="AC42" s="105">
        <f t="shared" si="12"/>
        <v>15.814779695996474</v>
      </c>
      <c r="AD42" s="105">
        <f t="shared" si="12"/>
        <v>15.973517734874047</v>
      </c>
    </row>
    <row r="43" spans="1:30" x14ac:dyDescent="0.25">
      <c r="A43" s="99" t="str">
        <f t="shared" si="10"/>
        <v>Welfare</v>
      </c>
      <c r="B43" s="105">
        <f t="shared" ref="B43:X43" si="18">+B12/52.1429</f>
        <v>59.105287226868448</v>
      </c>
      <c r="C43" s="105">
        <f t="shared" si="18"/>
        <v>54.480486854320034</v>
      </c>
      <c r="D43" s="105">
        <f t="shared" si="18"/>
        <v>53.412418440878653</v>
      </c>
      <c r="E43" s="105">
        <f t="shared" si="18"/>
        <v>54.81630712754572</v>
      </c>
      <c r="F43" s="105">
        <f t="shared" si="18"/>
        <v>55.824322578219594</v>
      </c>
      <c r="G43" s="105">
        <f t="shared" si="18"/>
        <v>53.483897498218838</v>
      </c>
      <c r="H43" s="105">
        <f t="shared" si="18"/>
        <v>56.513582734668766</v>
      </c>
      <c r="I43" s="105">
        <f t="shared" si="18"/>
        <v>55.031674317484629</v>
      </c>
      <c r="J43" s="105">
        <f t="shared" si="18"/>
        <v>53.711424389957642</v>
      </c>
      <c r="K43" s="105">
        <f t="shared" si="18"/>
        <v>52.025589569601991</v>
      </c>
      <c r="L43" s="105">
        <f t="shared" si="18"/>
        <v>51.70444159280575</v>
      </c>
      <c r="M43" s="105">
        <f t="shared" si="18"/>
        <v>50.353371199830384</v>
      </c>
      <c r="N43" s="105">
        <f t="shared" si="18"/>
        <v>49.762131531450862</v>
      </c>
      <c r="O43" s="105">
        <f t="shared" si="18"/>
        <v>50.508081837719082</v>
      </c>
      <c r="P43" s="105">
        <f t="shared" si="18"/>
        <v>53.192266984073825</v>
      </c>
      <c r="Q43" s="105">
        <f t="shared" si="18"/>
        <v>53.613442602781724</v>
      </c>
      <c r="R43" s="105">
        <f t="shared" si="18"/>
        <v>57.584918968305729</v>
      </c>
      <c r="S43" s="105">
        <f t="shared" si="18"/>
        <v>62.065974058644422</v>
      </c>
      <c r="T43" s="105">
        <f t="shared" si="18"/>
        <v>59.777225802198956</v>
      </c>
      <c r="U43" s="105">
        <f t="shared" si="18"/>
        <v>55.624178360246326</v>
      </c>
      <c r="V43" s="105">
        <f t="shared" si="18"/>
        <v>55.094574858854024</v>
      </c>
      <c r="W43" s="105">
        <f t="shared" si="18"/>
        <v>52.816661560033197</v>
      </c>
      <c r="X43" s="105">
        <f t="shared" si="18"/>
        <v>49.792240359172467</v>
      </c>
      <c r="Y43" s="105">
        <f t="shared" si="12"/>
        <v>48.077893384153107</v>
      </c>
      <c r="Z43" s="105">
        <f t="shared" si="12"/>
        <v>48.48029720697842</v>
      </c>
      <c r="AA43" s="105">
        <f t="shared" si="12"/>
        <v>48.033568220586815</v>
      </c>
      <c r="AB43" s="105">
        <f t="shared" si="12"/>
        <v>48.275185761500204</v>
      </c>
      <c r="AC43" s="105">
        <f t="shared" si="12"/>
        <v>46.680818208611861</v>
      </c>
      <c r="AD43" s="105">
        <f t="shared" si="12"/>
        <v>45.826787333184384</v>
      </c>
    </row>
    <row r="44" spans="1:30" x14ac:dyDescent="0.25">
      <c r="A44" s="99" t="str">
        <f t="shared" si="10"/>
        <v>NZ super</v>
      </c>
      <c r="B44" s="105">
        <f t="shared" ref="B44:X44" si="19">+B13/52.1429</f>
        <v>44.145800341057701</v>
      </c>
      <c r="C44" s="105">
        <f t="shared" si="19"/>
        <v>41.362189473566254</v>
      </c>
      <c r="D44" s="105">
        <f t="shared" si="19"/>
        <v>38.826764789644898</v>
      </c>
      <c r="E44" s="105">
        <f t="shared" si="19"/>
        <v>38.11188148957612</v>
      </c>
      <c r="F44" s="105">
        <f t="shared" si="19"/>
        <v>37.691892972656895</v>
      </c>
      <c r="G44" s="105">
        <f t="shared" si="19"/>
        <v>36.888934300405971</v>
      </c>
      <c r="H44" s="105">
        <f t="shared" si="19"/>
        <v>36.576946783344646</v>
      </c>
      <c r="I44" s="105">
        <f t="shared" si="19"/>
        <v>35.628580153425155</v>
      </c>
      <c r="J44" s="105">
        <f t="shared" si="19"/>
        <v>35.697043207492648</v>
      </c>
      <c r="K44" s="105">
        <f t="shared" si="19"/>
        <v>35.288047685666562</v>
      </c>
      <c r="L44" s="105">
        <f t="shared" si="19"/>
        <v>35.295397394629163</v>
      </c>
      <c r="M44" s="105">
        <f t="shared" si="19"/>
        <v>35.457491689083007</v>
      </c>
      <c r="N44" s="105">
        <f t="shared" si="19"/>
        <v>35.202121886942159</v>
      </c>
      <c r="O44" s="105">
        <f t="shared" si="19"/>
        <v>35.274263600515042</v>
      </c>
      <c r="P44" s="105">
        <f t="shared" si="19"/>
        <v>36.376716023452772</v>
      </c>
      <c r="Q44" s="105">
        <f t="shared" si="19"/>
        <v>37.415858699329483</v>
      </c>
      <c r="R44" s="105">
        <f t="shared" si="19"/>
        <v>38.31737519252102</v>
      </c>
      <c r="S44" s="105">
        <f t="shared" si="19"/>
        <v>39.901273745340227</v>
      </c>
      <c r="T44" s="105">
        <f t="shared" si="19"/>
        <v>40.063218507280212</v>
      </c>
      <c r="U44" s="105">
        <f t="shared" si="19"/>
        <v>42.840093651928697</v>
      </c>
      <c r="V44" s="105">
        <f t="shared" si="19"/>
        <v>45.089794792929069</v>
      </c>
      <c r="W44" s="105">
        <f t="shared" si="19"/>
        <v>46.603187872302897</v>
      </c>
      <c r="X44" s="105">
        <f t="shared" si="19"/>
        <v>48.369247234593374</v>
      </c>
      <c r="Y44" s="105">
        <f t="shared" si="12"/>
        <v>49.921408341239733</v>
      </c>
      <c r="Z44" s="105">
        <f t="shared" si="12"/>
        <v>51.154909947243695</v>
      </c>
      <c r="AA44" s="105">
        <f t="shared" si="12"/>
        <v>51.906324491632468</v>
      </c>
      <c r="AB44" s="105">
        <f t="shared" si="12"/>
        <v>52.554355624648046</v>
      </c>
      <c r="AC44" s="105">
        <f t="shared" si="12"/>
        <v>53.601993587414071</v>
      </c>
      <c r="AD44" s="105">
        <f t="shared" si="12"/>
        <v>54.478966890155142</v>
      </c>
    </row>
    <row r="45" spans="1:30" x14ac:dyDescent="0.25">
      <c r="A45" s="99" t="str">
        <f t="shared" si="10"/>
        <v>All other</v>
      </c>
      <c r="B45" s="105">
        <f t="shared" ref="B45:X45" si="20">+B14/52.1429</f>
        <v>25.65239098800517</v>
      </c>
      <c r="C45" s="105">
        <f t="shared" si="20"/>
        <v>10.194608223394821</v>
      </c>
      <c r="D45" s="105">
        <f t="shared" si="20"/>
        <v>13.272560739499593</v>
      </c>
      <c r="E45" s="105">
        <f t="shared" si="20"/>
        <v>14.07588739347581</v>
      </c>
      <c r="F45" s="105">
        <f t="shared" si="20"/>
        <v>17.828844264295469</v>
      </c>
      <c r="G45" s="105">
        <f t="shared" si="20"/>
        <v>23.198270277830705</v>
      </c>
      <c r="H45" s="105">
        <f t="shared" si="20"/>
        <v>26.666332529683523</v>
      </c>
      <c r="I45" s="105">
        <f t="shared" si="20"/>
        <v>22.70724425721453</v>
      </c>
      <c r="J45" s="105">
        <f t="shared" si="20"/>
        <v>25.799626714157874</v>
      </c>
      <c r="K45" s="105">
        <f t="shared" si="20"/>
        <v>28.66425451457723</v>
      </c>
      <c r="L45" s="105">
        <f t="shared" si="20"/>
        <v>25.336114755095373</v>
      </c>
      <c r="M45" s="105">
        <f t="shared" si="20"/>
        <v>26.715043407108382</v>
      </c>
      <c r="N45" s="105">
        <f t="shared" si="20"/>
        <v>31.116522996233435</v>
      </c>
      <c r="O45" s="105">
        <f t="shared" si="20"/>
        <v>31.787534083407696</v>
      </c>
      <c r="P45" s="105">
        <f t="shared" si="20"/>
        <v>33.385385484079272</v>
      </c>
      <c r="Q45" s="105">
        <f t="shared" si="20"/>
        <v>40.659449062894112</v>
      </c>
      <c r="R45" s="105">
        <f t="shared" si="20"/>
        <v>40.717159150213774</v>
      </c>
      <c r="S45" s="105">
        <f t="shared" si="20"/>
        <v>36.994112184159832</v>
      </c>
      <c r="T45" s="105">
        <f t="shared" si="20"/>
        <v>41.841789476119828</v>
      </c>
      <c r="U45" s="105">
        <f t="shared" si="20"/>
        <v>31.987031528923389</v>
      </c>
      <c r="V45" s="105">
        <f t="shared" si="20"/>
        <v>32.556285639447559</v>
      </c>
      <c r="W45" s="105">
        <f t="shared" si="20"/>
        <v>32.258818032381207</v>
      </c>
      <c r="X45" s="105">
        <f t="shared" si="20"/>
        <v>31.339232743662862</v>
      </c>
      <c r="Y45" s="105">
        <f t="shared" si="12"/>
        <v>31.327545562147506</v>
      </c>
      <c r="Z45" s="105">
        <f t="shared" si="12"/>
        <v>34.322889593550876</v>
      </c>
      <c r="AA45" s="105">
        <f t="shared" si="12"/>
        <v>33.966350588994516</v>
      </c>
      <c r="AB45" s="105">
        <f t="shared" si="12"/>
        <v>33.080289181580078</v>
      </c>
      <c r="AC45" s="105">
        <f t="shared" si="12"/>
        <v>32.467311467976728</v>
      </c>
      <c r="AD45" s="105">
        <f t="shared" si="12"/>
        <v>32.381526099932081</v>
      </c>
    </row>
    <row r="46" spans="1:30" x14ac:dyDescent="0.25">
      <c r="A46" s="99" t="str">
        <f t="shared" si="10"/>
        <v>Total core Crown expenses excluding losses</v>
      </c>
      <c r="B46" s="105">
        <f t="shared" ref="B46:X46" si="21">+B15/52.1429</f>
        <v>268.832609657224</v>
      </c>
      <c r="C46" s="105">
        <f t="shared" si="21"/>
        <v>247.46764384373392</v>
      </c>
      <c r="D46" s="105">
        <f t="shared" si="21"/>
        <v>239.17359008938215</v>
      </c>
      <c r="E46" s="105">
        <f t="shared" si="21"/>
        <v>240.99832445043293</v>
      </c>
      <c r="F46" s="105">
        <f t="shared" si="21"/>
        <v>244.18699295150813</v>
      </c>
      <c r="G46" s="105">
        <f t="shared" si="21"/>
        <v>247.16163951257124</v>
      </c>
      <c r="H46" s="105">
        <f t="shared" si="21"/>
        <v>258.40448008545104</v>
      </c>
      <c r="I46" s="105">
        <f t="shared" si="21"/>
        <v>254.28598514789684</v>
      </c>
      <c r="J46" s="105">
        <f t="shared" si="21"/>
        <v>248.44410936312778</v>
      </c>
      <c r="K46" s="105">
        <f t="shared" si="21"/>
        <v>245.85085699536873</v>
      </c>
      <c r="L46" s="105">
        <f t="shared" si="21"/>
        <v>249.58888157630622</v>
      </c>
      <c r="M46" s="105">
        <f t="shared" si="21"/>
        <v>252.17026098186014</v>
      </c>
      <c r="N46" s="105">
        <f t="shared" si="21"/>
        <v>259.80589546511067</v>
      </c>
      <c r="O46" s="105">
        <f t="shared" si="21"/>
        <v>271.23895864942347</v>
      </c>
      <c r="P46" s="105">
        <f t="shared" si="21"/>
        <v>288.46575556747723</v>
      </c>
      <c r="Q46" s="105">
        <f t="shared" si="21"/>
        <v>290.22750384943959</v>
      </c>
      <c r="R46" s="105">
        <f t="shared" si="21"/>
        <v>316.68241826856018</v>
      </c>
      <c r="S46" s="105">
        <f t="shared" si="21"/>
        <v>308.10618048980268</v>
      </c>
      <c r="T46" s="105">
        <f t="shared" si="21"/>
        <v>319.64368559885514</v>
      </c>
      <c r="U46" s="105">
        <f t="shared" si="21"/>
        <v>308.7669354236881</v>
      </c>
      <c r="V46" s="105">
        <f t="shared" si="21"/>
        <v>309.72966416332883</v>
      </c>
      <c r="W46" s="105">
        <f t="shared" si="21"/>
        <v>305.1947244268186</v>
      </c>
      <c r="X46" s="105">
        <f t="shared" si="21"/>
        <v>301.9708254367078</v>
      </c>
      <c r="Y46" s="105">
        <f t="shared" si="12"/>
        <v>300.85919925487178</v>
      </c>
      <c r="Z46" s="105">
        <f t="shared" si="12"/>
        <v>303.7920840350572</v>
      </c>
      <c r="AA46" s="105">
        <f t="shared" si="12"/>
        <v>305.59084434449051</v>
      </c>
      <c r="AB46" s="105">
        <f t="shared" si="12"/>
        <v>305.53053190547291</v>
      </c>
      <c r="AC46" s="105">
        <f t="shared" si="12"/>
        <v>304.82157181594999</v>
      </c>
      <c r="AD46" s="105">
        <f t="shared" si="12"/>
        <v>305.24848422760056</v>
      </c>
    </row>
    <row r="47" spans="1:30" x14ac:dyDescent="0.2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row>
    <row r="49" spans="1:30" x14ac:dyDescent="0.25">
      <c r="A49" s="86" t="s">
        <v>55</v>
      </c>
      <c r="N49" s="103"/>
      <c r="O49" s="103"/>
      <c r="P49" s="103"/>
    </row>
    <row r="50" spans="1:30" x14ac:dyDescent="0.25">
      <c r="A50" s="189" t="s">
        <v>0</v>
      </c>
      <c r="B50" s="88">
        <v>34121</v>
      </c>
      <c r="C50" s="89">
        <v>34486</v>
      </c>
      <c r="D50" s="89">
        <v>34851</v>
      </c>
      <c r="E50" s="89">
        <v>35217</v>
      </c>
      <c r="F50" s="89">
        <v>35582</v>
      </c>
      <c r="G50" s="89">
        <v>35947</v>
      </c>
      <c r="H50" s="89">
        <v>36312</v>
      </c>
      <c r="I50" s="89">
        <v>36678</v>
      </c>
      <c r="J50" s="89">
        <v>37043</v>
      </c>
      <c r="K50" s="89">
        <v>37408</v>
      </c>
      <c r="L50" s="89">
        <v>37773</v>
      </c>
      <c r="M50" s="89">
        <v>38139</v>
      </c>
      <c r="N50" s="89">
        <v>38504</v>
      </c>
      <c r="O50" s="89">
        <v>38869</v>
      </c>
      <c r="P50" s="89">
        <v>39234</v>
      </c>
      <c r="Q50" s="89">
        <v>39600</v>
      </c>
      <c r="R50" s="89">
        <v>39965</v>
      </c>
      <c r="S50" s="89">
        <v>40330</v>
      </c>
      <c r="T50" s="89">
        <v>40695</v>
      </c>
      <c r="U50" s="89">
        <v>41061</v>
      </c>
      <c r="V50" s="89">
        <v>41426</v>
      </c>
      <c r="W50" s="89">
        <v>41791</v>
      </c>
      <c r="X50" s="89">
        <v>42156</v>
      </c>
      <c r="Y50" s="90">
        <v>42522</v>
      </c>
      <c r="Z50" s="167">
        <f>Z32</f>
        <v>42887</v>
      </c>
      <c r="AA50" s="167">
        <f>AA32</f>
        <v>43252</v>
      </c>
      <c r="AB50" s="167">
        <f>AB32</f>
        <v>43617</v>
      </c>
      <c r="AC50" s="167">
        <f>AC32</f>
        <v>43983</v>
      </c>
      <c r="AD50" s="167">
        <f>AD32</f>
        <v>44348</v>
      </c>
    </row>
    <row r="51" spans="1:30" x14ac:dyDescent="0.25">
      <c r="A51" s="190"/>
      <c r="B51" s="92" t="s">
        <v>56</v>
      </c>
      <c r="C51" s="92" t="s">
        <v>56</v>
      </c>
      <c r="D51" s="92" t="s">
        <v>56</v>
      </c>
      <c r="E51" s="92" t="s">
        <v>56</v>
      </c>
      <c r="F51" s="92" t="s">
        <v>56</v>
      </c>
      <c r="G51" s="92" t="s">
        <v>56</v>
      </c>
      <c r="H51" s="92" t="s">
        <v>56</v>
      </c>
      <c r="I51" s="92" t="s">
        <v>56</v>
      </c>
      <c r="J51" s="92" t="s">
        <v>56</v>
      </c>
      <c r="K51" s="92" t="s">
        <v>56</v>
      </c>
      <c r="L51" s="92" t="s">
        <v>56</v>
      </c>
      <c r="M51" s="92" t="s">
        <v>56</v>
      </c>
      <c r="N51" s="92" t="s">
        <v>56</v>
      </c>
      <c r="O51" s="92" t="s">
        <v>56</v>
      </c>
      <c r="P51" s="92" t="s">
        <v>56</v>
      </c>
      <c r="Q51" s="92" t="s">
        <v>56</v>
      </c>
      <c r="R51" s="92" t="s">
        <v>56</v>
      </c>
      <c r="S51" s="92" t="s">
        <v>56</v>
      </c>
      <c r="T51" s="92" t="s">
        <v>56</v>
      </c>
      <c r="U51" s="92" t="s">
        <v>56</v>
      </c>
      <c r="V51" s="92" t="s">
        <v>56</v>
      </c>
      <c r="W51" s="92" t="s">
        <v>56</v>
      </c>
      <c r="X51" s="92" t="s">
        <v>56</v>
      </c>
      <c r="Y51" s="92" t="s">
        <v>56</v>
      </c>
      <c r="Z51" s="92" t="s">
        <v>56</v>
      </c>
      <c r="AA51" s="92" t="s">
        <v>56</v>
      </c>
      <c r="AB51" s="92" t="s">
        <v>56</v>
      </c>
      <c r="AC51" s="92" t="s">
        <v>56</v>
      </c>
      <c r="AD51" s="92" t="s">
        <v>56</v>
      </c>
    </row>
    <row r="52" spans="1:30" ht="30" x14ac:dyDescent="0.25">
      <c r="A52" s="190"/>
      <c r="B52" s="110" t="s">
        <v>57</v>
      </c>
      <c r="C52" s="110" t="s">
        <v>57</v>
      </c>
      <c r="D52" s="110" t="s">
        <v>57</v>
      </c>
      <c r="E52" s="110" t="s">
        <v>57</v>
      </c>
      <c r="F52" s="110" t="s">
        <v>57</v>
      </c>
      <c r="G52" s="110" t="s">
        <v>57</v>
      </c>
      <c r="H52" s="110" t="s">
        <v>57</v>
      </c>
      <c r="I52" s="110" t="s">
        <v>57</v>
      </c>
      <c r="J52" s="110" t="s">
        <v>57</v>
      </c>
      <c r="K52" s="110" t="s">
        <v>57</v>
      </c>
      <c r="L52" s="110" t="s">
        <v>57</v>
      </c>
      <c r="M52" s="110" t="s">
        <v>57</v>
      </c>
      <c r="N52" s="110" t="s">
        <v>57</v>
      </c>
      <c r="O52" s="110" t="s">
        <v>57</v>
      </c>
      <c r="P52" s="110" t="s">
        <v>57</v>
      </c>
      <c r="Q52" s="110" t="s">
        <v>57</v>
      </c>
      <c r="R52" s="110" t="s">
        <v>57</v>
      </c>
      <c r="S52" s="110" t="s">
        <v>57</v>
      </c>
      <c r="T52" s="110" t="s">
        <v>57</v>
      </c>
      <c r="U52" s="110" t="s">
        <v>57</v>
      </c>
      <c r="V52" s="110" t="s">
        <v>57</v>
      </c>
      <c r="W52" s="110" t="s">
        <v>57</v>
      </c>
      <c r="X52" s="110" t="s">
        <v>57</v>
      </c>
      <c r="Y52" s="110" t="s">
        <v>57</v>
      </c>
      <c r="Z52" s="110" t="s">
        <v>57</v>
      </c>
      <c r="AA52" s="110" t="s">
        <v>57</v>
      </c>
      <c r="AB52" s="110" t="s">
        <v>57</v>
      </c>
      <c r="AC52" s="110" t="s">
        <v>57</v>
      </c>
      <c r="AD52" s="110" t="s">
        <v>57</v>
      </c>
    </row>
    <row r="53" spans="1:30" x14ac:dyDescent="0.25">
      <c r="A53" s="95" t="s">
        <v>26</v>
      </c>
      <c r="B53" s="96"/>
      <c r="C53" s="97"/>
      <c r="D53" s="97"/>
      <c r="E53" s="97"/>
      <c r="F53" s="97"/>
      <c r="G53" s="97"/>
      <c r="H53" s="97"/>
      <c r="I53" s="97"/>
      <c r="J53" s="97"/>
      <c r="K53" s="97"/>
      <c r="L53" s="97"/>
      <c r="M53" s="97"/>
      <c r="N53" s="97"/>
      <c r="O53" s="97"/>
      <c r="P53" s="97"/>
      <c r="Q53" s="97"/>
      <c r="R53" s="97"/>
      <c r="S53" s="97"/>
      <c r="T53" s="97"/>
      <c r="U53" s="97"/>
      <c r="V53" s="97"/>
      <c r="W53" s="97"/>
      <c r="X53" s="97"/>
      <c r="Y53" s="98"/>
      <c r="Z53" s="98"/>
      <c r="AA53" s="98"/>
      <c r="AB53" s="98"/>
      <c r="AC53" s="98"/>
      <c r="AD53" s="98"/>
    </row>
    <row r="54" spans="1:30" x14ac:dyDescent="0.25">
      <c r="A54" s="99" t="str">
        <f>+A37</f>
        <v>Core govt services</v>
      </c>
      <c r="B54" s="106">
        <f t="shared" ref="B54:B63" si="22">+B37/B$46</f>
        <v>4.6581182983868388E-2</v>
      </c>
      <c r="C54" s="106">
        <f t="shared" ref="C54:X63" si="23">+C37/C$46</f>
        <v>5.8132865481291533E-2</v>
      </c>
      <c r="D54" s="106">
        <f t="shared" si="23"/>
        <v>4.4078947368421051E-2</v>
      </c>
      <c r="E54" s="106">
        <f t="shared" si="23"/>
        <v>4.930220836089845E-2</v>
      </c>
      <c r="F54" s="106">
        <f t="shared" si="23"/>
        <v>5.0587199951446005E-2</v>
      </c>
      <c r="G54" s="106">
        <f t="shared" si="23"/>
        <v>4.5657829353132028E-2</v>
      </c>
      <c r="H54" s="106">
        <f t="shared" si="23"/>
        <v>4.7592463363572923E-2</v>
      </c>
      <c r="I54" s="106">
        <f t="shared" si="23"/>
        <v>4.7275441652152278E-2</v>
      </c>
      <c r="J54" s="106">
        <f t="shared" si="23"/>
        <v>4.8993160576582463E-2</v>
      </c>
      <c r="K54" s="106">
        <f t="shared" si="23"/>
        <v>4.0558335528048453E-2</v>
      </c>
      <c r="L54" s="106">
        <f t="shared" si="23"/>
        <v>5.3387472742311454E-2</v>
      </c>
      <c r="M54" s="106">
        <f t="shared" si="23"/>
        <v>4.9925982522324622E-2</v>
      </c>
      <c r="N54" s="106">
        <f t="shared" si="23"/>
        <v>5.7177859449827381E-2</v>
      </c>
      <c r="O54" s="106">
        <f t="shared" si="23"/>
        <v>5.0831305758313058E-2</v>
      </c>
      <c r="P54" s="106">
        <f t="shared" si="23"/>
        <v>8.9180230727922541E-2</v>
      </c>
      <c r="Q54" s="106">
        <f t="shared" si="23"/>
        <v>5.9143463691071464E-2</v>
      </c>
      <c r="R54" s="106">
        <f t="shared" si="23"/>
        <v>8.2700540608105999E-2</v>
      </c>
      <c r="S54" s="106">
        <f t="shared" si="23"/>
        <v>4.6459312952056617E-2</v>
      </c>
      <c r="T54" s="106">
        <f t="shared" si="23"/>
        <v>7.8963804116394601E-2</v>
      </c>
      <c r="U54" s="106">
        <f t="shared" si="23"/>
        <v>7.8580114656320588E-2</v>
      </c>
      <c r="V54" s="106">
        <f t="shared" si="23"/>
        <v>6.1075868346940516E-2</v>
      </c>
      <c r="W54" s="106">
        <f t="shared" si="23"/>
        <v>6.299410916926694E-2</v>
      </c>
      <c r="X54" s="106">
        <f t="shared" si="23"/>
        <v>5.7128643091082461E-2</v>
      </c>
      <c r="Y54" s="106">
        <f t="shared" ref="Y54:AD63" si="24">+Y37/Y$46</f>
        <v>5.5485668682113916E-2</v>
      </c>
      <c r="Z54" s="106">
        <f t="shared" si="24"/>
        <v>5.3095631519157291E-2</v>
      </c>
      <c r="AA54" s="106">
        <f t="shared" si="24"/>
        <v>5.9289814377655757E-2</v>
      </c>
      <c r="AB54" s="106">
        <f t="shared" si="24"/>
        <v>5.3842283085328159E-2</v>
      </c>
      <c r="AC54" s="106">
        <f t="shared" si="24"/>
        <v>5.3285247118305991E-2</v>
      </c>
      <c r="AD54" s="106">
        <f t="shared" si="24"/>
        <v>5.1914865001176834E-2</v>
      </c>
    </row>
    <row r="55" spans="1:30" x14ac:dyDescent="0.25">
      <c r="A55" s="99" t="str">
        <f t="shared" ref="A55:A63" si="25">+A38</f>
        <v>Defence</v>
      </c>
      <c r="B55" s="106">
        <f t="shared" si="22"/>
        <v>3.7322218333386364E-2</v>
      </c>
      <c r="C55" s="106">
        <f t="shared" ref="C55:Q55" si="26">+C38/C$46</f>
        <v>3.5392557103815919E-2</v>
      </c>
      <c r="D55" s="106">
        <f t="shared" si="26"/>
        <v>3.3322368421052628E-2</v>
      </c>
      <c r="E55" s="106">
        <f t="shared" si="26"/>
        <v>3.0557918281195855E-2</v>
      </c>
      <c r="F55" s="106">
        <f t="shared" si="26"/>
        <v>2.8707553181804391E-2</v>
      </c>
      <c r="G55" s="106">
        <f t="shared" si="26"/>
        <v>3.1130338195317287E-2</v>
      </c>
      <c r="H55" s="106">
        <f t="shared" si="26"/>
        <v>2.8750872295882759E-2</v>
      </c>
      <c r="I55" s="106">
        <f t="shared" si="26"/>
        <v>3.4475132011832686E-2</v>
      </c>
      <c r="J55" s="106">
        <f t="shared" si="26"/>
        <v>3.3842884002288888E-2</v>
      </c>
      <c r="K55" s="106">
        <f t="shared" si="26"/>
        <v>3.060310771661838E-2</v>
      </c>
      <c r="L55" s="106">
        <f t="shared" si="26"/>
        <v>3.0052384891094575E-2</v>
      </c>
      <c r="M55" s="106">
        <f t="shared" si="26"/>
        <v>3.1302230074972542E-2</v>
      </c>
      <c r="N55" s="106">
        <f t="shared" si="26"/>
        <v>2.8399599064483798E-2</v>
      </c>
      <c r="O55" s="106">
        <f t="shared" si="26"/>
        <v>2.8041362530413623E-2</v>
      </c>
      <c r="P55" s="106">
        <f t="shared" si="26"/>
        <v>2.8091031979704834E-2</v>
      </c>
      <c r="Q55" s="106">
        <f t="shared" si="26"/>
        <v>2.7404951137779184E-2</v>
      </c>
      <c r="R55" s="106">
        <f t="shared" si="23"/>
        <v>2.745226711665261E-2</v>
      </c>
      <c r="S55" s="106">
        <f t="shared" si="23"/>
        <v>2.8337993845000232E-2</v>
      </c>
      <c r="T55" s="106">
        <f t="shared" si="23"/>
        <v>2.5677785663591197E-2</v>
      </c>
      <c r="U55" s="106">
        <f t="shared" si="23"/>
        <v>2.5131738954195383E-2</v>
      </c>
      <c r="V55" s="106">
        <f t="shared" si="23"/>
        <v>2.5659260945011805E-2</v>
      </c>
      <c r="W55" s="106">
        <f t="shared" si="23"/>
        <v>2.5340366882617153E-2</v>
      </c>
      <c r="X55" s="106">
        <f t="shared" si="23"/>
        <v>2.7099484543205786E-2</v>
      </c>
      <c r="Y55" s="106">
        <f t="shared" si="24"/>
        <v>2.740467205021033E-2</v>
      </c>
      <c r="Z55" s="106">
        <f t="shared" si="24"/>
        <v>2.7548280491583182E-2</v>
      </c>
      <c r="AA55" s="106">
        <f t="shared" si="24"/>
        <v>2.810426658052333E-2</v>
      </c>
      <c r="AB55" s="106">
        <f t="shared" si="24"/>
        <v>2.9041765509309175E-2</v>
      </c>
      <c r="AC55" s="106">
        <f t="shared" si="24"/>
        <v>2.9130041514947698E-2</v>
      </c>
      <c r="AD55" s="106">
        <f t="shared" si="24"/>
        <v>2.9140468264909281E-2</v>
      </c>
    </row>
    <row r="56" spans="1:30" x14ac:dyDescent="0.25">
      <c r="A56" s="99" t="str">
        <f t="shared" si="25"/>
        <v>Education</v>
      </c>
      <c r="B56" s="106">
        <f t="shared" si="22"/>
        <v>0.14442075789875589</v>
      </c>
      <c r="C56" s="106">
        <f t="shared" si="23"/>
        <v>0.15611187961807077</v>
      </c>
      <c r="D56" s="106">
        <f t="shared" si="23"/>
        <v>0.15799342105263159</v>
      </c>
      <c r="E56" s="106">
        <f t="shared" si="23"/>
        <v>0.15590838925117348</v>
      </c>
      <c r="F56" s="106">
        <f t="shared" si="23"/>
        <v>0.16189724759505963</v>
      </c>
      <c r="G56" s="106">
        <f t="shared" si="23"/>
        <v>0.16702230276811553</v>
      </c>
      <c r="H56" s="106">
        <f t="shared" si="23"/>
        <v>0.16466154919748777</v>
      </c>
      <c r="I56" s="106">
        <f t="shared" si="23"/>
        <v>0.17444914434215253</v>
      </c>
      <c r="J56" s="106">
        <f t="shared" si="23"/>
        <v>0.16719801629472189</v>
      </c>
      <c r="K56" s="106">
        <f t="shared" si="23"/>
        <v>0.17047669212536209</v>
      </c>
      <c r="L56" s="106">
        <f t="shared" si="23"/>
        <v>0.17585282101411137</v>
      </c>
      <c r="M56" s="106">
        <f t="shared" si="23"/>
        <v>0.18110405424764814</v>
      </c>
      <c r="N56" s="106">
        <f t="shared" si="23"/>
        <v>0.17663436908341687</v>
      </c>
      <c r="O56" s="106">
        <f t="shared" si="23"/>
        <v>0.20101378751013788</v>
      </c>
      <c r="P56" s="106">
        <f t="shared" si="23"/>
        <v>0.17163861266966651</v>
      </c>
      <c r="Q56" s="106">
        <f t="shared" si="23"/>
        <v>0.16757022299419272</v>
      </c>
      <c r="R56" s="106">
        <f t="shared" si="23"/>
        <v>0.17897878191306524</v>
      </c>
      <c r="S56" s="106">
        <f t="shared" si="23"/>
        <v>0.18315029759580084</v>
      </c>
      <c r="T56" s="106">
        <f t="shared" si="23"/>
        <v>0.16536550745209369</v>
      </c>
      <c r="U56" s="106">
        <f t="shared" si="23"/>
        <v>0.16871272221900516</v>
      </c>
      <c r="V56" s="106">
        <f t="shared" si="23"/>
        <v>0.17785110801354082</v>
      </c>
      <c r="W56" s="106">
        <f t="shared" si="23"/>
        <v>0.17210740621545606</v>
      </c>
      <c r="X56" s="106">
        <f t="shared" si="23"/>
        <v>0.17797769578375688</v>
      </c>
      <c r="Y56" s="106">
        <f t="shared" si="24"/>
        <v>0.17798157691839467</v>
      </c>
      <c r="Z56" s="106">
        <f t="shared" si="24"/>
        <v>0.17267375813281008</v>
      </c>
      <c r="AA56" s="106">
        <f t="shared" si="24"/>
        <v>0.17116020177422164</v>
      </c>
      <c r="AB56" s="106">
        <f t="shared" si="24"/>
        <v>0.17438238324587255</v>
      </c>
      <c r="AC56" s="106">
        <f t="shared" si="24"/>
        <v>0.17529048867036201</v>
      </c>
      <c r="AD56" s="106">
        <f t="shared" si="24"/>
        <v>0.1776784013090795</v>
      </c>
    </row>
    <row r="57" spans="1:30" x14ac:dyDescent="0.25">
      <c r="A57" s="99" t="str">
        <f t="shared" si="25"/>
        <v>Finance costs</v>
      </c>
      <c r="B57" s="106">
        <f t="shared" si="22"/>
        <v>0.12603009958955105</v>
      </c>
      <c r="C57" s="106">
        <f t="shared" si="23"/>
        <v>0.12780458180100543</v>
      </c>
      <c r="D57" s="106">
        <f t="shared" si="23"/>
        <v>0.12358552631578945</v>
      </c>
      <c r="E57" s="106">
        <f t="shared" si="23"/>
        <v>0.1166556406136786</v>
      </c>
      <c r="F57" s="106">
        <f t="shared" si="23"/>
        <v>9.3223682214062464E-2</v>
      </c>
      <c r="G57" s="106">
        <f t="shared" si="23"/>
        <v>8.1961942065417542E-2</v>
      </c>
      <c r="H57" s="106">
        <f t="shared" si="23"/>
        <v>7.0230286113049531E-2</v>
      </c>
      <c r="I57" s="106">
        <f t="shared" si="23"/>
        <v>6.5605042713776221E-2</v>
      </c>
      <c r="J57" s="106">
        <f t="shared" si="23"/>
        <v>6.2781002207144609E-2</v>
      </c>
      <c r="K57" s="106">
        <f t="shared" si="23"/>
        <v>5.5780879641822483E-2</v>
      </c>
      <c r="L57" s="106">
        <f t="shared" si="23"/>
        <v>5.9152317216833346E-2</v>
      </c>
      <c r="M57" s="106">
        <f t="shared" si="23"/>
        <v>5.3770116040303718E-2</v>
      </c>
      <c r="N57" s="106">
        <f t="shared" si="23"/>
        <v>5.065152021383227E-2</v>
      </c>
      <c r="O57" s="106">
        <f t="shared" si="23"/>
        <v>4.7769667477696676E-2</v>
      </c>
      <c r="P57" s="106">
        <f t="shared" si="23"/>
        <v>4.3127233672203398E-2</v>
      </c>
      <c r="Q57" s="106">
        <f t="shared" si="23"/>
        <v>4.3160166324543399E-2</v>
      </c>
      <c r="R57" s="106">
        <f t="shared" si="23"/>
        <v>3.7951939001906194E-2</v>
      </c>
      <c r="S57" s="106">
        <f t="shared" si="23"/>
        <v>3.6102041772764909E-2</v>
      </c>
      <c r="T57" s="106">
        <f t="shared" si="23"/>
        <v>4.3520227111426543E-2</v>
      </c>
      <c r="U57" s="106">
        <f t="shared" si="23"/>
        <v>5.0828073426370954E-2</v>
      </c>
      <c r="V57" s="106">
        <f t="shared" si="23"/>
        <v>5.1474980798224913E-2</v>
      </c>
      <c r="W57" s="106">
        <f t="shared" si="23"/>
        <v>5.0652748821134234E-2</v>
      </c>
      <c r="X57" s="106">
        <f t="shared" si="23"/>
        <v>5.2278097922971688E-2</v>
      </c>
      <c r="Y57" s="106">
        <f t="shared" si="24"/>
        <v>4.8560104965575078E-2</v>
      </c>
      <c r="Z57" s="106">
        <f t="shared" si="24"/>
        <v>4.6318289786223266E-2</v>
      </c>
      <c r="AA57" s="106">
        <f t="shared" si="24"/>
        <v>4.33988519742564E-2</v>
      </c>
      <c r="AB57" s="106">
        <f t="shared" si="24"/>
        <v>4.0771092420865976E-2</v>
      </c>
      <c r="AC57" s="106">
        <f t="shared" si="24"/>
        <v>4.246584873715703E-2</v>
      </c>
      <c r="AD57" s="106">
        <f t="shared" si="24"/>
        <v>4.2657162390863354E-2</v>
      </c>
    </row>
    <row r="58" spans="1:30" x14ac:dyDescent="0.25">
      <c r="A58" s="99" t="str">
        <f t="shared" si="25"/>
        <v>Health</v>
      </c>
      <c r="B58" s="106">
        <f t="shared" si="22"/>
        <v>0.13261637341308979</v>
      </c>
      <c r="C58" s="106">
        <f t="shared" si="23"/>
        <v>0.15526839636964809</v>
      </c>
      <c r="D58" s="106">
        <f t="shared" si="23"/>
        <v>0.1607236842105263</v>
      </c>
      <c r="E58" s="106">
        <f t="shared" si="23"/>
        <v>0.16469772863308446</v>
      </c>
      <c r="F58" s="106">
        <f t="shared" si="23"/>
        <v>0.17072800655479015</v>
      </c>
      <c r="G58" s="106">
        <f t="shared" si="23"/>
        <v>0.17541141738037475</v>
      </c>
      <c r="H58" s="106">
        <f t="shared" si="23"/>
        <v>0.18347522679692949</v>
      </c>
      <c r="I58" s="106">
        <f t="shared" si="23"/>
        <v>0.19004174615023087</v>
      </c>
      <c r="J58" s="106">
        <f t="shared" si="23"/>
        <v>0.1814763345050274</v>
      </c>
      <c r="K58" s="106">
        <f t="shared" si="23"/>
        <v>0.18519884119041349</v>
      </c>
      <c r="L58" s="106">
        <f t="shared" si="23"/>
        <v>0.18800912349299451</v>
      </c>
      <c r="M58" s="106">
        <f t="shared" si="23"/>
        <v>0.19366314884675995</v>
      </c>
      <c r="N58" s="106">
        <f t="shared" si="23"/>
        <v>0.19630248357278096</v>
      </c>
      <c r="O58" s="106">
        <f t="shared" si="23"/>
        <v>0.19357258718572587</v>
      </c>
      <c r="P58" s="106">
        <f t="shared" si="23"/>
        <v>0.19174860655889486</v>
      </c>
      <c r="Q58" s="106">
        <f t="shared" si="23"/>
        <v>0.19820341421478327</v>
      </c>
      <c r="R58" s="106">
        <f t="shared" si="23"/>
        <v>0.19324396112621484</v>
      </c>
      <c r="S58" s="106">
        <f t="shared" si="23"/>
        <v>0.2050833424460656</v>
      </c>
      <c r="T58" s="106">
        <f t="shared" si="23"/>
        <v>0.19521646557842443</v>
      </c>
      <c r="U58" s="106">
        <f t="shared" si="23"/>
        <v>0.20499160345127107</v>
      </c>
      <c r="V58" s="106">
        <f t="shared" si="23"/>
        <v>0.20621284100930221</v>
      </c>
      <c r="W58" s="106">
        <f t="shared" si="23"/>
        <v>0.20845984860145242</v>
      </c>
      <c r="X58" s="106">
        <f t="shared" si="23"/>
        <v>0.20808976963365258</v>
      </c>
      <c r="Y58" s="106">
        <f t="shared" si="24"/>
        <v>0.21136495827077328</v>
      </c>
      <c r="Z58" s="106">
        <f t="shared" si="24"/>
        <v>0.20819993803573272</v>
      </c>
      <c r="AA58" s="106">
        <f t="shared" si="24"/>
        <v>0.20939045299803696</v>
      </c>
      <c r="AB58" s="106">
        <f t="shared" si="24"/>
        <v>0.21225409148635371</v>
      </c>
      <c r="AC58" s="106">
        <f t="shared" si="24"/>
        <v>0.21244520722684784</v>
      </c>
      <c r="AD58" s="106">
        <f t="shared" si="24"/>
        <v>0.21159342322047006</v>
      </c>
    </row>
    <row r="59" spans="1:30" x14ac:dyDescent="0.25">
      <c r="A59" s="99" t="str">
        <f t="shared" si="25"/>
        <v>Law and order</v>
      </c>
      <c r="B59" s="106">
        <f t="shared" si="22"/>
        <v>3.3535906328550052E-2</v>
      </c>
      <c r="C59" s="106">
        <f t="shared" si="23"/>
        <v>3.8800229427443565E-2</v>
      </c>
      <c r="D59" s="106">
        <f t="shared" si="23"/>
        <v>3.914473684210526E-2</v>
      </c>
      <c r="E59" s="106">
        <f t="shared" si="23"/>
        <v>3.8874712535047089E-2</v>
      </c>
      <c r="F59" s="106">
        <f t="shared" si="23"/>
        <v>3.8873547173246752E-2</v>
      </c>
      <c r="G59" s="106">
        <f t="shared" si="23"/>
        <v>3.9314840256057991E-2</v>
      </c>
      <c r="H59" s="106">
        <f t="shared" si="23"/>
        <v>4.1842288904396369E-2</v>
      </c>
      <c r="I59" s="106">
        <f t="shared" si="23"/>
        <v>4.2326725830084864E-2</v>
      </c>
      <c r="J59" s="106">
        <f t="shared" si="23"/>
        <v>4.1990244965802878E-2</v>
      </c>
      <c r="K59" s="106">
        <f t="shared" si="23"/>
        <v>4.5641295759810373E-2</v>
      </c>
      <c r="L59" s="106">
        <f t="shared" si="23"/>
        <v>4.346191442965637E-2</v>
      </c>
      <c r="M59" s="106">
        <f t="shared" si="23"/>
        <v>4.4004584308294743E-2</v>
      </c>
      <c r="N59" s="106">
        <f t="shared" si="23"/>
        <v>4.4036084196458401E-2</v>
      </c>
      <c r="O59" s="106">
        <f t="shared" si="23"/>
        <v>4.5316301703163017E-2</v>
      </c>
      <c r="P59" s="106">
        <f t="shared" si="23"/>
        <v>4.9978704886765556E-2</v>
      </c>
      <c r="Q59" s="106">
        <f t="shared" si="23"/>
        <v>5.0774602172044159E-2</v>
      </c>
      <c r="R59" s="106">
        <f t="shared" si="23"/>
        <v>4.8264116746351678E-2</v>
      </c>
      <c r="S59" s="106">
        <f t="shared" si="23"/>
        <v>4.9849249371221468E-2</v>
      </c>
      <c r="T59" s="106">
        <f t="shared" si="23"/>
        <v>4.8005677785663593E-2</v>
      </c>
      <c r="U59" s="106">
        <f t="shared" si="23"/>
        <v>4.9264578145810416E-2</v>
      </c>
      <c r="V59" s="106">
        <f t="shared" si="23"/>
        <v>4.915654424942395E-2</v>
      </c>
      <c r="W59" s="106">
        <f t="shared" si="23"/>
        <v>4.8987644647179814E-2</v>
      </c>
      <c r="X59" s="106">
        <f t="shared" si="23"/>
        <v>4.8574547766123577E-2</v>
      </c>
      <c r="Y59" s="106">
        <f t="shared" si="24"/>
        <v>4.9344641480339235E-2</v>
      </c>
      <c r="Z59" s="106">
        <f t="shared" si="24"/>
        <v>5.1210885056284204E-2</v>
      </c>
      <c r="AA59" s="106">
        <f t="shared" si="24"/>
        <v>5.0468404443008735E-2</v>
      </c>
      <c r="AB59" s="106">
        <f t="shared" si="24"/>
        <v>5.1422135959552383E-2</v>
      </c>
      <c r="AC59" s="106">
        <f t="shared" si="24"/>
        <v>5.1882088271447448E-2</v>
      </c>
      <c r="AD59" s="106">
        <f t="shared" si="24"/>
        <v>5.2329556280331306E-2</v>
      </c>
    </row>
    <row r="60" spans="1:30" x14ac:dyDescent="0.25">
      <c r="A60" s="99" t="str">
        <f t="shared" si="25"/>
        <v>Welfare</v>
      </c>
      <c r="B60" s="106">
        <f t="shared" si="22"/>
        <v>0.21985906881695216</v>
      </c>
      <c r="C60" s="106">
        <f t="shared" si="23"/>
        <v>0.22015196010320573</v>
      </c>
      <c r="D60" s="106">
        <f t="shared" si="23"/>
        <v>0.22332072040611911</v>
      </c>
      <c r="E60" s="106">
        <f t="shared" si="23"/>
        <v>0.2274551379249112</v>
      </c>
      <c r="F60" s="106">
        <f t="shared" si="23"/>
        <v>0.22861300638279888</v>
      </c>
      <c r="G60" s="106">
        <f t="shared" si="23"/>
        <v>0.21639238841308348</v>
      </c>
      <c r="H60" s="106">
        <f t="shared" si="23"/>
        <v>0.21870202372644798</v>
      </c>
      <c r="I60" s="106">
        <f t="shared" si="23"/>
        <v>0.21641646622985267</v>
      </c>
      <c r="J60" s="106">
        <f t="shared" si="23"/>
        <v>0.21619117687130437</v>
      </c>
      <c r="K60" s="106">
        <f t="shared" si="23"/>
        <v>0.21161443244666842</v>
      </c>
      <c r="L60" s="106">
        <f t="shared" si="23"/>
        <v>0.20715843296488459</v>
      </c>
      <c r="M60" s="106">
        <f t="shared" si="23"/>
        <v>0.19968005348359674</v>
      </c>
      <c r="N60" s="106">
        <f t="shared" si="23"/>
        <v>0.19153580576901658</v>
      </c>
      <c r="O60" s="106">
        <f t="shared" si="23"/>
        <v>0.18621248986212491</v>
      </c>
      <c r="P60" s="106">
        <f t="shared" si="23"/>
        <v>0.18439716312056742</v>
      </c>
      <c r="Q60" s="106">
        <f t="shared" si="23"/>
        <v>0.18472902082565754</v>
      </c>
      <c r="R60" s="106">
        <f t="shared" si="23"/>
        <v>0.18183806756038873</v>
      </c>
      <c r="S60" s="106">
        <f t="shared" si="23"/>
        <v>0.20144345679783793</v>
      </c>
      <c r="T60" s="106">
        <f t="shared" si="23"/>
        <v>0.18701206529453512</v>
      </c>
      <c r="U60" s="106">
        <f t="shared" si="23"/>
        <v>0.18014940066014248</v>
      </c>
      <c r="V60" s="106">
        <f t="shared" si="23"/>
        <v>0.17787955508775924</v>
      </c>
      <c r="W60" s="106">
        <f t="shared" si="23"/>
        <v>0.1730588943148586</v>
      </c>
      <c r="X60" s="106">
        <f t="shared" si="23"/>
        <v>0.16489089728176001</v>
      </c>
      <c r="Y60" s="106">
        <f t="shared" si="24"/>
        <v>0.15980197216248021</v>
      </c>
      <c r="Z60" s="106">
        <f t="shared" si="24"/>
        <v>0.15958380667148608</v>
      </c>
      <c r="AA60" s="106">
        <f t="shared" si="24"/>
        <v>0.15718261561016827</v>
      </c>
      <c r="AB60" s="106">
        <f t="shared" si="24"/>
        <v>0.15800445690460782</v>
      </c>
      <c r="AC60" s="106">
        <f t="shared" si="24"/>
        <v>0.15314145232738824</v>
      </c>
      <c r="AD60" s="106">
        <f t="shared" si="24"/>
        <v>0.15012945092633068</v>
      </c>
    </row>
    <row r="61" spans="1:30" x14ac:dyDescent="0.25">
      <c r="A61" s="99" t="str">
        <f t="shared" si="25"/>
        <v>NZ super</v>
      </c>
      <c r="B61" s="106">
        <f t="shared" si="22"/>
        <v>0.16421296656438356</v>
      </c>
      <c r="C61" s="106">
        <f t="shared" si="23"/>
        <v>0.16714180824255492</v>
      </c>
      <c r="D61" s="106">
        <f t="shared" si="23"/>
        <v>0.16233717433072295</v>
      </c>
      <c r="E61" s="106">
        <f t="shared" si="23"/>
        <v>0.15814168657182817</v>
      </c>
      <c r="F61" s="106">
        <f t="shared" si="23"/>
        <v>0.15435667771273115</v>
      </c>
      <c r="G61" s="106">
        <f t="shared" si="23"/>
        <v>0.14925024115050714</v>
      </c>
      <c r="H61" s="106">
        <f t="shared" si="23"/>
        <v>0.14154919748778783</v>
      </c>
      <c r="I61" s="106">
        <f t="shared" si="23"/>
        <v>0.14011224461585248</v>
      </c>
      <c r="J61" s="106">
        <f t="shared" si="23"/>
        <v>0.14368238916591733</v>
      </c>
      <c r="K61" s="106">
        <f t="shared" si="23"/>
        <v>0.14353436923887278</v>
      </c>
      <c r="L61" s="106">
        <f t="shared" si="23"/>
        <v>0.14141414141414141</v>
      </c>
      <c r="M61" s="106">
        <f t="shared" si="23"/>
        <v>0.14060933097750825</v>
      </c>
      <c r="N61" s="106">
        <f t="shared" si="23"/>
        <v>0.13549393028176857</v>
      </c>
      <c r="O61" s="106">
        <f t="shared" si="23"/>
        <v>0.1300486618004866</v>
      </c>
      <c r="P61" s="106">
        <f t="shared" si="23"/>
        <v>0.12610410532748181</v>
      </c>
      <c r="Q61" s="106">
        <f t="shared" si="23"/>
        <v>0.12891906591574998</v>
      </c>
      <c r="R61" s="106">
        <f t="shared" si="23"/>
        <v>0.12099621886816038</v>
      </c>
      <c r="S61" s="106">
        <f t="shared" si="23"/>
        <v>0.12950494430818738</v>
      </c>
      <c r="T61" s="106">
        <f t="shared" si="23"/>
        <v>0.12533711852377571</v>
      </c>
      <c r="U61" s="106">
        <f t="shared" si="23"/>
        <v>0.13874572934159476</v>
      </c>
      <c r="V61" s="106">
        <f t="shared" si="23"/>
        <v>0.14557790231274717</v>
      </c>
      <c r="W61" s="106">
        <f t="shared" si="23"/>
        <v>0.15269984748205465</v>
      </c>
      <c r="X61" s="106">
        <f t="shared" si="23"/>
        <v>0.16017854428368089</v>
      </c>
      <c r="Y61" s="106">
        <f t="shared" si="24"/>
        <v>0.16592947287262103</v>
      </c>
      <c r="Z61" s="106">
        <f t="shared" si="24"/>
        <v>0.16838789631312606</v>
      </c>
      <c r="AA61" s="106">
        <f t="shared" si="24"/>
        <v>0.16985562706557666</v>
      </c>
      <c r="AB61" s="106">
        <f t="shared" si="24"/>
        <v>0.17201015982555767</v>
      </c>
      <c r="AC61" s="106">
        <f t="shared" si="24"/>
        <v>0.17584711366746292</v>
      </c>
      <c r="AD61" s="106">
        <f t="shared" si="24"/>
        <v>0.17847416025015975</v>
      </c>
    </row>
    <row r="62" spans="1:30" x14ac:dyDescent="0.25">
      <c r="A62" s="99" t="str">
        <f t="shared" si="25"/>
        <v>All other</v>
      </c>
      <c r="B62" s="106">
        <f t="shared" si="22"/>
        <v>9.5421426071462631E-2</v>
      </c>
      <c r="C62" s="106">
        <f t="shared" si="23"/>
        <v>4.1195721852963996E-2</v>
      </c>
      <c r="D62" s="106">
        <f t="shared" si="23"/>
        <v>5.5493421052631567E-2</v>
      </c>
      <c r="E62" s="106">
        <f t="shared" si="23"/>
        <v>5.8406577828182586E-2</v>
      </c>
      <c r="F62" s="106">
        <f t="shared" si="23"/>
        <v>7.301307923406064E-2</v>
      </c>
      <c r="G62" s="106">
        <f t="shared" si="23"/>
        <v>9.3858700417994212E-2</v>
      </c>
      <c r="H62" s="106">
        <f t="shared" si="23"/>
        <v>0.10319609211444519</v>
      </c>
      <c r="I62" s="106">
        <f t="shared" si="23"/>
        <v>8.9298056454065411E-2</v>
      </c>
      <c r="J62" s="106">
        <f t="shared" si="23"/>
        <v>0.1038447914112101</v>
      </c>
      <c r="K62" s="106">
        <f t="shared" si="23"/>
        <v>0.11659204635238347</v>
      </c>
      <c r="L62" s="106">
        <f t="shared" si="23"/>
        <v>0.10151139183397247</v>
      </c>
      <c r="M62" s="106">
        <f t="shared" si="23"/>
        <v>0.10594049949859126</v>
      </c>
      <c r="N62" s="106">
        <f t="shared" si="23"/>
        <v>0.1197683483684152</v>
      </c>
      <c r="O62" s="106">
        <f t="shared" si="23"/>
        <v>0.11719383617193836</v>
      </c>
      <c r="P62" s="106">
        <f t="shared" si="23"/>
        <v>0.11573431105679316</v>
      </c>
      <c r="Q62" s="106">
        <f t="shared" si="23"/>
        <v>0.1400950927241785</v>
      </c>
      <c r="R62" s="106">
        <f t="shared" si="23"/>
        <v>0.12857410705915442</v>
      </c>
      <c r="S62" s="106">
        <f t="shared" si="23"/>
        <v>0.12006936091106493</v>
      </c>
      <c r="T62" s="106">
        <f t="shared" si="23"/>
        <v>0.1309013484740951</v>
      </c>
      <c r="U62" s="106">
        <f t="shared" si="23"/>
        <v>0.10359603914528924</v>
      </c>
      <c r="V62" s="106">
        <f t="shared" si="23"/>
        <v>0.10511193923704946</v>
      </c>
      <c r="W62" s="106">
        <f t="shared" si="23"/>
        <v>0.10569913386598011</v>
      </c>
      <c r="X62" s="106">
        <f t="shared" si="23"/>
        <v>0.10378231969376615</v>
      </c>
      <c r="Y62" s="106">
        <f t="shared" si="24"/>
        <v>0.10412693259749219</v>
      </c>
      <c r="Z62" s="106">
        <f t="shared" si="24"/>
        <v>0.11298151399359721</v>
      </c>
      <c r="AA62" s="106">
        <f t="shared" si="24"/>
        <v>0.11114976517655246</v>
      </c>
      <c r="AB62" s="106">
        <f t="shared" si="24"/>
        <v>0.10827163156255258</v>
      </c>
      <c r="AC62" s="106">
        <f t="shared" si="24"/>
        <v>0.10651251246608083</v>
      </c>
      <c r="AD62" s="106">
        <f t="shared" si="24"/>
        <v>0.10608251235667936</v>
      </c>
    </row>
    <row r="63" spans="1:30" x14ac:dyDescent="0.25">
      <c r="A63" s="99" t="str">
        <f t="shared" si="25"/>
        <v>Total core Crown expenses excluding losses</v>
      </c>
      <c r="B63" s="106">
        <f t="shared" si="22"/>
        <v>1</v>
      </c>
      <c r="C63" s="106">
        <f t="shared" si="23"/>
        <v>1</v>
      </c>
      <c r="D63" s="106">
        <f t="shared" si="23"/>
        <v>1</v>
      </c>
      <c r="E63" s="106">
        <f t="shared" si="23"/>
        <v>1</v>
      </c>
      <c r="F63" s="106">
        <f t="shared" si="23"/>
        <v>1</v>
      </c>
      <c r="G63" s="106">
        <f t="shared" si="23"/>
        <v>1</v>
      </c>
      <c r="H63" s="106">
        <f t="shared" si="23"/>
        <v>1</v>
      </c>
      <c r="I63" s="106">
        <f t="shared" si="23"/>
        <v>1</v>
      </c>
      <c r="J63" s="106">
        <f t="shared" si="23"/>
        <v>1</v>
      </c>
      <c r="K63" s="106">
        <f t="shared" si="23"/>
        <v>1</v>
      </c>
      <c r="L63" s="106">
        <f t="shared" si="23"/>
        <v>1</v>
      </c>
      <c r="M63" s="106">
        <f t="shared" si="23"/>
        <v>1</v>
      </c>
      <c r="N63" s="106">
        <f t="shared" si="23"/>
        <v>1</v>
      </c>
      <c r="O63" s="106">
        <f t="shared" si="23"/>
        <v>1</v>
      </c>
      <c r="P63" s="106">
        <f t="shared" si="23"/>
        <v>1</v>
      </c>
      <c r="Q63" s="106">
        <f t="shared" si="23"/>
        <v>1</v>
      </c>
      <c r="R63" s="106">
        <f t="shared" si="23"/>
        <v>1</v>
      </c>
      <c r="S63" s="106">
        <f t="shared" si="23"/>
        <v>1</v>
      </c>
      <c r="T63" s="106">
        <f t="shared" si="23"/>
        <v>1</v>
      </c>
      <c r="U63" s="106">
        <f t="shared" si="23"/>
        <v>1</v>
      </c>
      <c r="V63" s="106">
        <f t="shared" si="23"/>
        <v>1</v>
      </c>
      <c r="W63" s="106">
        <f t="shared" si="23"/>
        <v>1</v>
      </c>
      <c r="X63" s="106">
        <f t="shared" si="23"/>
        <v>1</v>
      </c>
      <c r="Y63" s="106">
        <f t="shared" si="24"/>
        <v>1</v>
      </c>
      <c r="Z63" s="106">
        <f t="shared" si="24"/>
        <v>1</v>
      </c>
      <c r="AA63" s="106">
        <f t="shared" si="24"/>
        <v>1</v>
      </c>
      <c r="AB63" s="106">
        <f t="shared" si="24"/>
        <v>1</v>
      </c>
      <c r="AC63" s="106">
        <f t="shared" si="24"/>
        <v>1</v>
      </c>
      <c r="AD63" s="106">
        <f t="shared" si="24"/>
        <v>1</v>
      </c>
    </row>
    <row r="64" spans="1:30" x14ac:dyDescent="0.25">
      <c r="A64" s="99"/>
      <c r="B64" s="106"/>
    </row>
  </sheetData>
  <mergeCells count="5">
    <mergeCell ref="A2:A4"/>
    <mergeCell ref="A32:A35"/>
    <mergeCell ref="A50:A52"/>
    <mergeCell ref="Z18:AB19"/>
    <mergeCell ref="AD18:AF19"/>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R48"/>
  <sheetViews>
    <sheetView tabSelected="1" topLeftCell="A28" workbookViewId="0">
      <selection activeCell="E43" sqref="E43"/>
    </sheetView>
  </sheetViews>
  <sheetFormatPr defaultColWidth="9.140625" defaultRowHeight="15" x14ac:dyDescent="0.25"/>
  <cols>
    <col min="1" max="1" width="40.5703125" style="158" customWidth="1"/>
    <col min="2" max="2" width="9.140625" style="158"/>
    <col min="3" max="3" width="10.7109375" style="158" customWidth="1"/>
    <col min="4" max="16384" width="9.140625" style="158"/>
  </cols>
  <sheetData>
    <row r="1" spans="1:18" ht="15" customHeight="1" x14ac:dyDescent="0.25">
      <c r="A1" s="62" t="s">
        <v>64</v>
      </c>
      <c r="B1" s="192" t="s">
        <v>65</v>
      </c>
      <c r="C1" s="192"/>
      <c r="D1" s="192"/>
      <c r="E1" s="192"/>
      <c r="F1" s="192"/>
      <c r="G1" s="192"/>
      <c r="H1" s="192"/>
      <c r="I1" s="192"/>
      <c r="J1" s="192"/>
      <c r="K1" s="192"/>
      <c r="L1" s="192"/>
      <c r="M1" s="192"/>
      <c r="N1" s="192"/>
      <c r="P1" s="193" t="s">
        <v>66</v>
      </c>
      <c r="Q1" s="197" t="s">
        <v>67</v>
      </c>
      <c r="R1" s="195" t="s">
        <v>68</v>
      </c>
    </row>
    <row r="2" spans="1:18" x14ac:dyDescent="0.25">
      <c r="A2" s="83"/>
      <c r="B2" s="77">
        <v>2009</v>
      </c>
      <c r="C2" s="78">
        <v>2010</v>
      </c>
      <c r="D2" s="78">
        <v>2011</v>
      </c>
      <c r="E2" s="78">
        <v>2012</v>
      </c>
      <c r="F2" s="78">
        <v>2013</v>
      </c>
      <c r="G2" s="78">
        <v>2014</v>
      </c>
      <c r="H2" s="78">
        <v>2015</v>
      </c>
      <c r="I2" s="78">
        <v>2016</v>
      </c>
      <c r="J2" s="78" t="s">
        <v>224</v>
      </c>
      <c r="K2" s="78">
        <v>2018</v>
      </c>
      <c r="L2" s="78">
        <v>2019</v>
      </c>
      <c r="M2" s="78">
        <v>2020</v>
      </c>
      <c r="N2" s="79">
        <v>2021</v>
      </c>
      <c r="P2" s="194"/>
      <c r="Q2" s="198"/>
      <c r="R2" s="196"/>
    </row>
    <row r="3" spans="1:18" x14ac:dyDescent="0.25">
      <c r="A3" s="158" t="str">
        <f>+'Real per person (Core)'!A6</f>
        <v>Core govt services</v>
      </c>
      <c r="B3" s="53">
        <f>+'Real per person (Core)'!R6/'Real per person (Core)'!Q6-1</f>
        <v>0.52576265052444326</v>
      </c>
      <c r="C3" s="53">
        <f>+'Real per person (Core)'!S6/'Real per person (Core)'!R6-1</f>
        <v>-0.453436164804223</v>
      </c>
      <c r="D3" s="53">
        <f>+'Real per person (Core)'!T6/'Real per person (Core)'!S6-1</f>
        <v>0.7632788519980831</v>
      </c>
      <c r="E3" s="53">
        <f>+'Real per person (Core)'!U6/'Real per person (Core)'!T6-1</f>
        <v>-3.8721445867066606E-2</v>
      </c>
      <c r="F3" s="53">
        <f>+'Real per person (Core)'!V6/'Real per person (Core)'!U6-1</f>
        <v>-0.2203332627624045</v>
      </c>
      <c r="G3" s="53">
        <f>+'Real per person (Core)'!W6/'Real per person (Core)'!V6-1</f>
        <v>1.630604552907311E-2</v>
      </c>
      <c r="H3" s="53">
        <f>+'Real per person (Core)'!X6/'Real per person (Core)'!W6-1</f>
        <v>-0.10269118517574605</v>
      </c>
      <c r="I3" s="53">
        <f>+'Real per person (Core)'!Y6/'Real per person (Core)'!X6-1</f>
        <v>-3.2334573459177895E-2</v>
      </c>
      <c r="J3" s="53">
        <f>+'Real per person (Core)'!Z6/'Real per person (Core)'!Y6-1</f>
        <v>-3.374640156792863E-2</v>
      </c>
      <c r="K3" s="53">
        <f>+'Real per person (Core)'!AA6/'Real per person (Core)'!Z6-1</f>
        <v>0.12327265167499446</v>
      </c>
      <c r="L3" s="53">
        <f>+'Real per person (Core)'!AB6/'Real per person (Core)'!AA6-1</f>
        <v>-9.2058945437462292E-2</v>
      </c>
      <c r="M3" s="53">
        <f>+'Real per person (Core)'!AC6/'Real per person (Core)'!AB6-1</f>
        <v>-1.2642114037457963E-2</v>
      </c>
      <c r="N3" s="53">
        <f>+'Real per person (Core)'!AD6/'Real per person (Core)'!AC6-1</f>
        <v>-2.4353338865040319E-2</v>
      </c>
      <c r="O3" s="168">
        <f t="shared" ref="O3:O11" si="0">AVERAGE(J3:N3)</f>
        <v>-7.9056296465789492E-3</v>
      </c>
      <c r="P3" s="53">
        <f>+('Real per person (Core)'!Y6/'Real per person (Core)'!B6)^(1/(YEAR('Real per person (Core)'!$Y$2)-YEAR('Real per person (Core)'!$B$2)))-1</f>
        <v>1.2577639993468059E-2</v>
      </c>
      <c r="Q3" s="53">
        <f>+('Real per person (Core)'!R6/'Real per person (Core)'!I6)^(1/(YEAR('Real per person (Core)'!$R$2)-YEAR('Real per person (Core)'!$I$2)))-1</f>
        <v>9.0372576404791793E-2</v>
      </c>
      <c r="R3" s="53">
        <f>+('Real per person (Core)'!Y6/'Real per person (Core)'!R6)^(1/(YEAR('Real per person (Core)'!$Y$2)-YEAR('Real per person (Core)'!$R$2)))-1</f>
        <v>-6.2310978724503419E-2</v>
      </c>
    </row>
    <row r="4" spans="1:18" x14ac:dyDescent="0.25">
      <c r="A4" s="158" t="str">
        <f>+'Real per person (Core)'!A7</f>
        <v>Defence</v>
      </c>
      <c r="B4" s="53">
        <f>+'Real per person (Core)'!R7/'Real per person (Core)'!Q7-1</f>
        <v>9.3036261669345199E-2</v>
      </c>
      <c r="C4" s="53">
        <f>+'Real per person (Core)'!S7/'Real per person (Core)'!R7-1</f>
        <v>4.3089734940386926E-3</v>
      </c>
      <c r="D4" s="53">
        <f>+'Real per person (Core)'!T7/'Real per person (Core)'!S7-1</f>
        <v>-5.9943001070753898E-2</v>
      </c>
      <c r="E4" s="53">
        <f>+'Real per person (Core)'!U7/'Real per person (Core)'!T7-1</f>
        <v>-5.4569457248917042E-2</v>
      </c>
      <c r="F4" s="53">
        <f>+'Real per person (Core)'!V7/'Real per person (Core)'!U7-1</f>
        <v>2.4173696137079537E-2</v>
      </c>
      <c r="G4" s="53">
        <f>+'Real per person (Core)'!W7/'Real per person (Core)'!V7-1</f>
        <v>-2.6887669676025849E-2</v>
      </c>
      <c r="H4" s="53">
        <f>+'Real per person (Core)'!X7/'Real per person (Core)'!W7-1</f>
        <v>5.8122856903929598E-2</v>
      </c>
      <c r="I4" s="53">
        <f>+'Real per person (Core)'!Y7/'Real per person (Core)'!X7-1</f>
        <v>7.5390516517521711E-3</v>
      </c>
      <c r="J4" s="53">
        <f>+'Real per person (Core)'!Z7/'Real per person (Core)'!Y7-1</f>
        <v>1.5039738022732507E-2</v>
      </c>
      <c r="K4" s="53">
        <f>+'Real per person (Core)'!AA7/'Real per person (Core)'!Z7-1</f>
        <v>2.6222766764202987E-2</v>
      </c>
      <c r="L4" s="53">
        <f>+'Real per person (Core)'!AB7/'Real per person (Core)'!AA7-1</f>
        <v>3.3153939292154488E-2</v>
      </c>
      <c r="M4" s="53">
        <f>+'Real per person (Core)'!AC7/'Real per person (Core)'!AB7-1</f>
        <v>7.1214629757454517E-4</v>
      </c>
      <c r="N4" s="53">
        <f>+'Real per person (Core)'!AD7/'Real per person (Core)'!AC7-1</f>
        <v>1.7589714946293356E-3</v>
      </c>
      <c r="O4" s="168">
        <f t="shared" si="0"/>
        <v>1.5377512374258773E-2</v>
      </c>
      <c r="P4" s="53">
        <f>+('Real per person (Core)'!Y7/'Real per person (Core)'!B7)^(1/(YEAR('Real per person (Core)'!$Y$2)-YEAR('Real per person (Core)'!$B$2)))-1</f>
        <v>-8.4994063141047294E-3</v>
      </c>
      <c r="Q4" s="53">
        <f>+('Real per person (Core)'!R7/'Real per person (Core)'!I7)^(1/(YEAR('Real per person (Core)'!$R$2)-YEAR('Real per person (Core)'!$I$2)))-1</f>
        <v>-9.2730538522101114E-4</v>
      </c>
      <c r="R4" s="53">
        <f>+('Real per person (Core)'!Y7/'Real per person (Core)'!R7)^(1/(YEAR('Real per person (Core)'!$Y$2)-YEAR('Real per person (Core)'!$R$2)))-1</f>
        <v>-7.5417460221363086E-3</v>
      </c>
    </row>
    <row r="5" spans="1:18" x14ac:dyDescent="0.25">
      <c r="A5" s="158" t="str">
        <f>+'Real per person (Core)'!A8</f>
        <v>Education</v>
      </c>
      <c r="B5" s="53">
        <f>+'Real per person (Core)'!R8/'Real per person (Core)'!Q8-1</f>
        <v>0.16544044737535524</v>
      </c>
      <c r="C5" s="53">
        <f>+'Real per person (Core)'!S8/'Real per person (Core)'!R8-1</f>
        <v>-4.4053867843971695E-3</v>
      </c>
      <c r="D5" s="53">
        <f>+'Real per person (Core)'!T8/'Real per person (Core)'!S8-1</f>
        <v>-6.3294611325284911E-2</v>
      </c>
      <c r="E5" s="53">
        <f>+'Real per person (Core)'!U8/'Real per person (Core)'!T8-1</f>
        <v>-1.4475187926217492E-2</v>
      </c>
      <c r="F5" s="53">
        <f>+'Real per person (Core)'!V8/'Real per person (Core)'!U8-1</f>
        <v>5.7452227907655029E-2</v>
      </c>
      <c r="G5" s="53">
        <f>+'Real per person (Core)'!W8/'Real per person (Core)'!V8-1</f>
        <v>-4.6463756886599095E-2</v>
      </c>
      <c r="H5" s="53">
        <f>+'Real per person (Core)'!X8/'Real per person (Core)'!W8-1</f>
        <v>2.3184574832526783E-2</v>
      </c>
      <c r="I5" s="53">
        <f>+'Real per person (Core)'!Y8/'Real per person (Core)'!X8-1</f>
        <v>-3.6595104374632648E-3</v>
      </c>
      <c r="J5" s="53">
        <f>+'Real per person (Core)'!Z8/'Real per person (Core)'!Y8-1</f>
        <v>-2.036464851902553E-2</v>
      </c>
      <c r="K5" s="53">
        <f>+'Real per person (Core)'!AA8/'Real per person (Core)'!Z8-1</f>
        <v>-2.8962863343345857E-3</v>
      </c>
      <c r="L5" s="53">
        <f>+'Real per person (Core)'!AB8/'Real per person (Core)'!AA8-1</f>
        <v>1.8624450916176816E-2</v>
      </c>
      <c r="M5" s="53">
        <f>+'Real per person (Core)'!AC8/'Real per person (Core)'!AB8-1</f>
        <v>2.8750457720316813E-3</v>
      </c>
      <c r="N5" s="53">
        <f>+'Real per person (Core)'!AD8/'Real per person (Core)'!AC8-1</f>
        <v>1.5042213483984046E-2</v>
      </c>
      <c r="O5" s="168">
        <f t="shared" si="0"/>
        <v>2.6561550637664855E-3</v>
      </c>
      <c r="P5" s="53">
        <f>+('Real per person (Core)'!Y8/'Real per person (Core)'!B8)^(1/(YEAR('Real per person (Core)'!$Y$2)-YEAR('Real per person (Core)'!$B$2)))-1</f>
        <v>1.4076525432087594E-2</v>
      </c>
      <c r="Q5" s="53">
        <f>+('Real per person (Core)'!R8/'Real per person (Core)'!I8)^(1/(YEAR('Real per person (Core)'!$R$2)-YEAR('Real per person (Core)'!$I$2)))-1</f>
        <v>2.7604567141058078E-2</v>
      </c>
      <c r="R5" s="53">
        <f>+('Real per person (Core)'!Y8/'Real per person (Core)'!R8)^(1/(YEAR('Real per person (Core)'!$Y$2)-YEAR('Real per person (Core)'!$R$2)))-1</f>
        <v>-8.0877276799427023E-3</v>
      </c>
    </row>
    <row r="6" spans="1:18" x14ac:dyDescent="0.25">
      <c r="A6" s="158" t="str">
        <f>+'Real per person (Core)'!A9</f>
        <v>Finance costs</v>
      </c>
      <c r="B6" s="53">
        <f>+'Real per person (Core)'!R9/'Real per person (Core)'!Q9-1</f>
        <v>-4.0519294638602488E-2</v>
      </c>
      <c r="C6" s="53">
        <f>+'Real per person (Core)'!S9/'Real per person (Core)'!R9-1</f>
        <v>-7.4504625449314354E-2</v>
      </c>
      <c r="D6" s="53">
        <f>+'Real per person (Core)'!T9/'Real per person (Core)'!S9-1</f>
        <v>0.25061924674257496</v>
      </c>
      <c r="E6" s="53">
        <f>+'Real per person (Core)'!U9/'Real per person (Core)'!T9-1</f>
        <v>0.12817677075887435</v>
      </c>
      <c r="F6" s="53">
        <f>+'Real per person (Core)'!V9/'Real per person (Core)'!U9-1</f>
        <v>1.5885025992379731E-2</v>
      </c>
      <c r="G6" s="53">
        <f>+'Real per person (Core)'!W9/'Real per person (Core)'!V9-1</f>
        <v>-3.0381158931257701E-2</v>
      </c>
      <c r="H6" s="53">
        <f>+'Real per person (Core)'!X9/'Real per person (Core)'!W9-1</f>
        <v>2.1185696812422439E-2</v>
      </c>
      <c r="I6" s="53">
        <f>+'Real per person (Core)'!Y9/'Real per person (Core)'!X9-1</f>
        <v>-7.4538944000551832E-2</v>
      </c>
      <c r="J6" s="53">
        <f>+'Real per person (Core)'!Z9/'Real per person (Core)'!Y9-1</f>
        <v>-3.6867458663449648E-2</v>
      </c>
      <c r="K6" s="53">
        <f>+'Real per person (Core)'!AA9/'Real per person (Core)'!Z9-1</f>
        <v>-5.7482091144774206E-2</v>
      </c>
      <c r="L6" s="53">
        <f>+'Real per person (Core)'!AB9/'Real per person (Core)'!AA9-1</f>
        <v>-6.0734470007891894E-2</v>
      </c>
      <c r="M6" s="53">
        <f>+'Real per person (Core)'!AC9/'Real per person (Core)'!AB9-1</f>
        <v>3.9150718981322941E-2</v>
      </c>
      <c r="N6" s="53">
        <f>+'Real per person (Core)'!AD9/'Real per person (Core)'!AC9-1</f>
        <v>5.9119595762613386E-3</v>
      </c>
      <c r="O6" s="168">
        <f t="shared" si="0"/>
        <v>-2.2004268251706295E-2</v>
      </c>
      <c r="P6" s="53">
        <f>+('Real per person (Core)'!Y9/'Real per person (Core)'!B9)^(1/(YEAR('Real per person (Core)'!$Y$2)-YEAR('Real per person (Core)'!$B$2)))-1</f>
        <v>-3.5911699986877488E-2</v>
      </c>
      <c r="Q6" s="53">
        <f>+('Real per person (Core)'!R9/'Real per person (Core)'!I9)^(1/(YEAR('Real per person (Core)'!$R$2)-YEAR('Real per person (Core)'!$I$2)))-1</f>
        <v>-3.5776779345469856E-2</v>
      </c>
      <c r="R6" s="53">
        <f>+('Real per person (Core)'!Y9/'Real per person (Core)'!R9)^(1/(YEAR('Real per person (Core)'!$Y$2)-YEAR('Real per person (Core)'!$R$2)))-1</f>
        <v>2.8281781853568111E-2</v>
      </c>
    </row>
    <row r="7" spans="1:18" x14ac:dyDescent="0.25">
      <c r="A7" s="158" t="str">
        <f>+'Real per person (Core)'!A10</f>
        <v>Health</v>
      </c>
      <c r="B7" s="53">
        <f>+'Real per person (Core)'!R10/'Real per person (Core)'!Q10-1</f>
        <v>6.3849480516857238E-2</v>
      </c>
      <c r="C7" s="53">
        <f>+'Real per person (Core)'!S10/'Real per person (Core)'!R10-1</f>
        <v>3.2525802551247596E-2</v>
      </c>
      <c r="D7" s="53">
        <f>+'Real per person (Core)'!T10/'Real per person (Core)'!S10-1</f>
        <v>-1.2466634345500438E-2</v>
      </c>
      <c r="E7" s="53">
        <f>+'Real per person (Core)'!U10/'Real per person (Core)'!T10-1</f>
        <v>1.4341711368872634E-2</v>
      </c>
      <c r="F7" s="53">
        <f>+'Real per person (Core)'!V10/'Real per person (Core)'!U10-1</f>
        <v>9.094054490083936E-3</v>
      </c>
      <c r="G7" s="53">
        <f>+'Real per person (Core)'!W10/'Real per person (Core)'!V10-1</f>
        <v>-3.9046035753027564E-3</v>
      </c>
      <c r="H7" s="53">
        <f>+'Real per person (Core)'!X10/'Real per person (Core)'!W10-1</f>
        <v>-1.2319964217028634E-2</v>
      </c>
      <c r="I7" s="53">
        <f>+'Real per person (Core)'!Y10/'Real per person (Core)'!X10-1</f>
        <v>1.2000129233671109E-2</v>
      </c>
      <c r="J7" s="53">
        <f>+'Real per person (Core)'!Z10/'Real per person (Core)'!Y10-1</f>
        <v>-5.3718062197162242E-3</v>
      </c>
      <c r="K7" s="53">
        <f>+'Real per person (Core)'!AA10/'Real per person (Core)'!Z10-1</f>
        <v>1.1673014622612055E-2</v>
      </c>
      <c r="L7" s="53">
        <f>+'Real per person (Core)'!AB10/'Real per person (Core)'!AA10-1</f>
        <v>1.3476007454152006E-2</v>
      </c>
      <c r="M7" s="53">
        <f>+'Real per person (Core)'!AC10/'Real per person (Core)'!AB10-1</f>
        <v>-1.4221022250597848E-3</v>
      </c>
      <c r="N7" s="53">
        <f>+'Real per person (Core)'!AD10/'Real per person (Core)'!AC10-1</f>
        <v>-2.614512332215102E-3</v>
      </c>
      <c r="O7" s="168">
        <f t="shared" si="0"/>
        <v>3.1481202599545899E-3</v>
      </c>
      <c r="P7" s="53">
        <f>+('Real per person (Core)'!Y10/'Real per person (Core)'!B10)^(1/(YEAR('Real per person (Core)'!$Y$2)-YEAR('Real per person (Core)'!$B$2)))-1</f>
        <v>2.5479148902885163E-2</v>
      </c>
      <c r="Q7" s="53">
        <f>+('Real per person (Core)'!R10/'Real per person (Core)'!I10)^(1/(YEAR('Real per person (Core)'!$R$2)-YEAR('Real per person (Core)'!$I$2)))-1</f>
        <v>2.6586107940236969E-2</v>
      </c>
      <c r="R7" s="53">
        <f>+('Real per person (Core)'!Y10/'Real per person (Core)'!R10)^(1/(YEAR('Real per person (Core)'!$Y$2)-YEAR('Real per person (Core)'!$R$2)))-1</f>
        <v>5.4973127291897406E-3</v>
      </c>
    </row>
    <row r="8" spans="1:18" x14ac:dyDescent="0.25">
      <c r="A8" s="158" t="str">
        <f>+'Real per person (Core)'!A11</f>
        <v>Law and order</v>
      </c>
      <c r="B8" s="53">
        <f>+'Real per person (Core)'!R11/'Real per person (Core)'!Q11-1</f>
        <v>3.7201699118679654E-2</v>
      </c>
      <c r="C8" s="53">
        <f>+'Real per person (Core)'!S11/'Real per person (Core)'!R11-1</f>
        <v>4.8719368001444163E-3</v>
      </c>
      <c r="D8" s="53">
        <f>+'Real per person (Core)'!T11/'Real per person (Core)'!S11-1</f>
        <v>-9.212952842631017E-4</v>
      </c>
      <c r="E8" s="53">
        <f>+'Real per person (Core)'!U11/'Real per person (Core)'!T11-1</f>
        <v>-8.696087616140713E-3</v>
      </c>
      <c r="F8" s="53">
        <f>+'Real per person (Core)'!V11/'Real per person (Core)'!U11-1</f>
        <v>9.1820868295444669E-4</v>
      </c>
      <c r="G8" s="53">
        <f>+'Real per person (Core)'!W11/'Real per person (Core)'!V11-1</f>
        <v>-1.802725175025488E-2</v>
      </c>
      <c r="H8" s="53">
        <f>+'Real per person (Core)'!X11/'Real per person (Core)'!W11-1</f>
        <v>-1.8907013543103202E-2</v>
      </c>
      <c r="I8" s="53">
        <f>+'Real per person (Core)'!Y11/'Real per person (Core)'!X11-1</f>
        <v>1.2114253663201291E-2</v>
      </c>
      <c r="J8" s="53">
        <f>+'Real per person (Core)'!Z11/'Real per person (Core)'!Y11-1</f>
        <v>4.7937644657136014E-2</v>
      </c>
      <c r="K8" s="53">
        <f>+'Real per person (Core)'!AA11/'Real per person (Core)'!Z11-1</f>
        <v>-8.6633137482066136E-3</v>
      </c>
      <c r="L8" s="53">
        <f>+'Real per person (Core)'!AB11/'Real per person (Core)'!AA11-1</f>
        <v>1.8696502908876811E-2</v>
      </c>
      <c r="M8" s="53">
        <f>+'Real per person (Core)'!AC11/'Real per person (Core)'!AB11-1</f>
        <v>6.6034580616660676E-3</v>
      </c>
      <c r="N8" s="53">
        <f>+'Real per person (Core)'!AD11/'Real per person (Core)'!AC11-1</f>
        <v>1.0037322171345675E-2</v>
      </c>
      <c r="O8" s="168">
        <f t="shared" si="0"/>
        <v>1.4922322810163591E-2</v>
      </c>
      <c r="P8" s="53">
        <f>+('Real per person (Core)'!Y11/'Real per person (Core)'!B11)^(1/(YEAR('Real per person (Core)'!$Y$2)-YEAR('Real per person (Core)'!$B$2)))-1</f>
        <v>2.192231465768546E-2</v>
      </c>
      <c r="Q8" s="53">
        <f>+('Real per person (Core)'!R11/'Real per person (Core)'!I11)^(1/(YEAR('Real per person (Core)'!$R$2)-YEAR('Real per person (Core)'!$I$2)))-1</f>
        <v>3.9736926681164686E-2</v>
      </c>
      <c r="R8" s="53">
        <f>+('Real per person (Core)'!Y11/'Real per person (Core)'!R11)^(1/(YEAR('Real per person (Core)'!$Y$2)-YEAR('Real per person (Core)'!$R$2)))-1</f>
        <v>-4.1508242539640694E-3</v>
      </c>
    </row>
    <row r="9" spans="1:18" x14ac:dyDescent="0.25">
      <c r="A9" s="158" t="str">
        <f>+'Real per person (Core)'!A12</f>
        <v>Welfare</v>
      </c>
      <c r="B9" s="53">
        <f>+'Real per person (Core)'!R12/'Real per person (Core)'!Q12-1</f>
        <v>7.4076130401630857E-2</v>
      </c>
      <c r="C9" s="53">
        <f>+'Real per person (Core)'!S12/'Real per person (Core)'!R12-1</f>
        <v>7.7816469496206464E-2</v>
      </c>
      <c r="D9" s="53">
        <f>+'Real per person (Core)'!T12/'Real per person (Core)'!S12-1</f>
        <v>-3.6876054733031127E-2</v>
      </c>
      <c r="E9" s="53">
        <f>+'Real per person (Core)'!U12/'Real per person (Core)'!T12-1</f>
        <v>-6.9475412855306229E-2</v>
      </c>
      <c r="F9" s="53">
        <f>+'Real per person (Core)'!V12/'Real per person (Core)'!U12-1</f>
        <v>-9.5211024594801241E-3</v>
      </c>
      <c r="G9" s="53">
        <f>+'Real per person (Core)'!W12/'Real per person (Core)'!V12-1</f>
        <v>-4.1345510055329049E-2</v>
      </c>
      <c r="H9" s="53">
        <f>+'Real per person (Core)'!X12/'Real per person (Core)'!W12-1</f>
        <v>-5.7262634773367238E-2</v>
      </c>
      <c r="I9" s="53">
        <f>+'Real per person (Core)'!Y12/'Real per person (Core)'!X12-1</f>
        <v>-3.4430002800698523E-2</v>
      </c>
      <c r="J9" s="53">
        <f>+'Real per person (Core)'!Z12/'Real per person (Core)'!Y12-1</f>
        <v>8.3698305915780313E-3</v>
      </c>
      <c r="K9" s="53">
        <f>+'Real per person (Core)'!AA12/'Real per person (Core)'!Z12-1</f>
        <v>-9.2146503245302824E-3</v>
      </c>
      <c r="L9" s="53">
        <f>+'Real per person (Core)'!AB12/'Real per person (Core)'!AA12-1</f>
        <v>5.0301809726855939E-3</v>
      </c>
      <c r="M9" s="53">
        <f>+'Real per person (Core)'!AC12/'Real per person (Core)'!AB12-1</f>
        <v>-3.3026647701889678E-2</v>
      </c>
      <c r="N9" s="53">
        <f>+'Real per person (Core)'!AD12/'Real per person (Core)'!AC12-1</f>
        <v>-1.8295113671977559E-2</v>
      </c>
      <c r="O9" s="168">
        <f t="shared" si="0"/>
        <v>-9.4272800268267783E-3</v>
      </c>
      <c r="P9" s="53">
        <f>+('Real per person (Core)'!Y12/'Real per person (Core)'!B12)^(1/(YEAR('Real per person (Core)'!$Y$2)-YEAR('Real per person (Core)'!$B$2)))-1</f>
        <v>-8.9379865076546494E-3</v>
      </c>
      <c r="Q9" s="53">
        <f>+('Real per person (Core)'!R12/'Real per person (Core)'!I12)^(1/(YEAR('Real per person (Core)'!$R$2)-YEAR('Real per person (Core)'!$I$2)))-1</f>
        <v>5.0518057580517528E-3</v>
      </c>
      <c r="R9" s="53">
        <f>+('Real per person (Core)'!Y12/'Real per person (Core)'!R12)^(1/(YEAR('Real per person (Core)'!$Y$2)-YEAR('Real per person (Core)'!$R$2)))-1</f>
        <v>-2.5447503001893024E-2</v>
      </c>
    </row>
    <row r="10" spans="1:18" x14ac:dyDescent="0.25">
      <c r="A10" s="158" t="str">
        <f>+'Real per person (Core)'!A13</f>
        <v>NZ super</v>
      </c>
      <c r="B10" s="53">
        <f>+'Real per person (Core)'!R13/'Real per person (Core)'!Q13-1</f>
        <v>2.4094502292090647E-2</v>
      </c>
      <c r="C10" s="53">
        <f>+'Real per person (Core)'!S13/'Real per person (Core)'!R13-1</f>
        <v>4.1336300956448691E-2</v>
      </c>
      <c r="D10" s="53">
        <f>+'Real per person (Core)'!T13/'Real per person (Core)'!S13-1</f>
        <v>4.0586363977639373E-3</v>
      </c>
      <c r="E10" s="53">
        <f>+'Real per person (Core)'!U13/'Real per person (Core)'!T13-1</f>
        <v>6.9312333060407516E-2</v>
      </c>
      <c r="F10" s="53">
        <f>+'Real per person (Core)'!V13/'Real per person (Core)'!U13-1</f>
        <v>5.2513917436291413E-2</v>
      </c>
      <c r="G10" s="53">
        <f>+'Real per person (Core)'!W13/'Real per person (Core)'!V13-1</f>
        <v>3.3563982411628945E-2</v>
      </c>
      <c r="H10" s="53">
        <f>+'Real per person (Core)'!X13/'Real per person (Core)'!W13-1</f>
        <v>3.7895677161177144E-2</v>
      </c>
      <c r="I10" s="53">
        <f>+'Real per person (Core)'!Y13/'Real per person (Core)'!X13-1</f>
        <v>3.2089833838395032E-2</v>
      </c>
      <c r="J10" s="53">
        <f>+'Real per person (Core)'!Z13/'Real per person (Core)'!Y13-1</f>
        <v>2.4708870342204925E-2</v>
      </c>
      <c r="K10" s="53">
        <f>+'Real per person (Core)'!AA13/'Real per person (Core)'!Z13-1</f>
        <v>1.4689001410885361E-2</v>
      </c>
      <c r="L10" s="53">
        <f>+'Real per person (Core)'!AB13/'Real per person (Core)'!AA13-1</f>
        <v>1.2484627631841771E-2</v>
      </c>
      <c r="M10" s="53">
        <f>+'Real per person (Core)'!AC13/'Real per person (Core)'!AB13-1</f>
        <v>1.9934369859815781E-2</v>
      </c>
      <c r="N10" s="53">
        <f>+'Real per person (Core)'!AD13/'Real per person (Core)'!AC13-1</f>
        <v>1.6360833693823462E-2</v>
      </c>
      <c r="O10" s="168">
        <f t="shared" si="0"/>
        <v>1.7635540587714261E-2</v>
      </c>
      <c r="P10" s="53">
        <f>+('Real per person (Core)'!Y13/'Real per person (Core)'!B13)^(1/(YEAR('Real per person (Core)'!$Y$2)-YEAR('Real per person (Core)'!$B$2)))-1</f>
        <v>5.3600590166082984E-3</v>
      </c>
      <c r="Q10" s="53">
        <f>+('Real per person (Core)'!R13/'Real per person (Core)'!I13)^(1/(YEAR('Real per person (Core)'!$R$2)-YEAR('Real per person (Core)'!$I$2)))-1</f>
        <v>8.1166881044347772E-3</v>
      </c>
      <c r="R10" s="53">
        <f>+('Real per person (Core)'!Y13/'Real per person (Core)'!R13)^(1/(YEAR('Real per person (Core)'!$Y$2)-YEAR('Real per person (Core)'!$R$2)))-1</f>
        <v>3.8515567468452971E-2</v>
      </c>
    </row>
    <row r="11" spans="1:18" x14ac:dyDescent="0.25">
      <c r="A11" s="158" t="str">
        <f>+'Real per person (Core)'!A14</f>
        <v>All other</v>
      </c>
      <c r="B11" s="53">
        <f>+'Real per person (Core)'!R14/'Real per person (Core)'!Q14-1</f>
        <v>1.4193524174515026E-3</v>
      </c>
      <c r="C11" s="53">
        <f>+'Real per person (Core)'!S14/'Real per person (Core)'!R14-1</f>
        <v>-9.1436805606178728E-2</v>
      </c>
      <c r="D11" s="53">
        <f>+'Real per person (Core)'!T14/'Real per person (Core)'!S14-1</f>
        <v>0.13103915746991968</v>
      </c>
      <c r="E11" s="53">
        <f>+'Real per person (Core)'!U14/'Real per person (Core)'!T14-1</f>
        <v>-0.23552429450515733</v>
      </c>
      <c r="F11" s="53">
        <f>+'Real per person (Core)'!V14/'Real per person (Core)'!U14-1</f>
        <v>1.7796403208264033E-2</v>
      </c>
      <c r="G11" s="53">
        <f>+'Real per person (Core)'!W14/'Real per person (Core)'!V14-1</f>
        <v>-9.1370253462182971E-3</v>
      </c>
      <c r="H11" s="53">
        <f>+'Real per person (Core)'!X14/'Real per person (Core)'!W14-1</f>
        <v>-2.8506478067338636E-2</v>
      </c>
      <c r="I11" s="53">
        <f>+'Real per person (Core)'!Y14/'Real per person (Core)'!X14-1</f>
        <v>-3.7292494079066429E-4</v>
      </c>
      <c r="J11" s="53">
        <f>+'Real per person (Core)'!Z14/'Real per person (Core)'!Y14-1</f>
        <v>9.5613747507324209E-2</v>
      </c>
      <c r="K11" s="53">
        <f>+'Real per person (Core)'!AA14/'Real per person (Core)'!Z14-1</f>
        <v>-1.0387791027459126E-2</v>
      </c>
      <c r="L11" s="53">
        <f>+'Real per person (Core)'!AB14/'Real per person (Core)'!AA14-1</f>
        <v>-2.6086447088064069E-2</v>
      </c>
      <c r="M11" s="53">
        <f>+'Real per person (Core)'!AC14/'Real per person (Core)'!AB14-1</f>
        <v>-1.8529998641749201E-2</v>
      </c>
      <c r="N11" s="53">
        <f>+'Real per person (Core)'!AD14/'Real per person (Core)'!AC14-1</f>
        <v>-2.6422073207157393E-3</v>
      </c>
      <c r="O11" s="168">
        <f t="shared" si="0"/>
        <v>7.5934606858672152E-3</v>
      </c>
      <c r="P11" s="53">
        <f>+('Real per person (Core)'!Y14/'Real per person (Core)'!B14)^(1/(YEAR('Real per person (Core)'!$Y$2)-YEAR('Real per person (Core)'!$B$2)))-1</f>
        <v>8.727471943619447E-3</v>
      </c>
      <c r="Q11" s="53">
        <f>+('Real per person (Core)'!R14/'Real per person (Core)'!I14)^(1/(YEAR('Real per person (Core)'!$R$2)-YEAR('Real per person (Core)'!$I$2)))-1</f>
        <v>6.7036379346840924E-2</v>
      </c>
      <c r="R11" s="53">
        <f>+('Real per person (Core)'!Y14/'Real per person (Core)'!R14)^(1/(YEAR('Real per person (Core)'!$Y$2)-YEAR('Real per person (Core)'!$R$2)))-1</f>
        <v>-3.6757675086677044E-2</v>
      </c>
    </row>
    <row r="12" spans="1:18" x14ac:dyDescent="0.25">
      <c r="A12" s="158" t="str">
        <f>+'Real per person (Core)'!A15</f>
        <v>Total core Crown expenses excluding losses</v>
      </c>
      <c r="B12" s="53">
        <f>+'Real per person (Core)'!R15/'Real per person (Core)'!Q15-1</f>
        <v>9.1152334180031769E-2</v>
      </c>
      <c r="C12" s="53">
        <f>+'Real per person (Core)'!S15/'Real per person (Core)'!R15-1</f>
        <v>-2.7081509057709896E-2</v>
      </c>
      <c r="D12" s="53">
        <f>+'Real per person (Core)'!T15/'Real per person (Core)'!S15-1</f>
        <v>3.7446522788705749E-2</v>
      </c>
      <c r="E12" s="53">
        <f>+'Real per person (Core)'!U15/'Real per person (Core)'!T15-1</f>
        <v>-3.4027733583378628E-2</v>
      </c>
      <c r="F12" s="53">
        <f>+'Real per person (Core)'!V15/'Real per person (Core)'!U15-1</f>
        <v>3.1179787379749246E-3</v>
      </c>
      <c r="G12" s="53">
        <f>+'Real per person (Core)'!W15/'Real per person (Core)'!V15-1</f>
        <v>-1.4641606088201087E-2</v>
      </c>
      <c r="H12" s="53">
        <f>+'Real per person (Core)'!X15/'Real per person (Core)'!W15-1</f>
        <v>-1.0563416507823109E-2</v>
      </c>
      <c r="I12" s="53">
        <f>+'Real per person (Core)'!Y15/'Real per person (Core)'!X15-1</f>
        <v>-3.6812370209221568E-3</v>
      </c>
      <c r="J12" s="53">
        <f>+'Real per person (Core)'!Z15/'Real per person (Core)'!Y15-1</f>
        <v>9.7483633123041091E-3</v>
      </c>
      <c r="K12" s="53">
        <f>+'Real per person (Core)'!AA15/'Real per person (Core)'!Z15-1</f>
        <v>5.9210242924754297E-3</v>
      </c>
      <c r="L12" s="53">
        <f>+'Real per person (Core)'!AB15/'Real per person (Core)'!AA15-1</f>
        <v>-1.9736337044717889E-4</v>
      </c>
      <c r="M12" s="53">
        <f>+'Real per person (Core)'!AC15/'Real per person (Core)'!AB15-1</f>
        <v>-2.320423052653342E-3</v>
      </c>
      <c r="N12" s="53">
        <f>+'Real per person (Core)'!AD15/'Real per person (Core)'!AC15-1</f>
        <v>1.4005321510128788E-3</v>
      </c>
      <c r="O12" s="168">
        <f>AVERAGE(J12:N12)</f>
        <v>2.9104266665383794E-3</v>
      </c>
      <c r="P12" s="53">
        <f>+('Real per person (Core)'!Y15/'Real per person (Core)'!B15)^(1/(YEAR('Real per person (Core)'!$Y$2)-YEAR('Real per person (Core)'!$B$2)))-1</f>
        <v>4.9056221293914959E-3</v>
      </c>
      <c r="Q12" s="53">
        <f>+('Real per person (Core)'!R15/'Real per person (Core)'!I15)^(1/(YEAR('Real per person (Core)'!$R$2)-YEAR('Real per person (Core)'!$I$2)))-1</f>
        <v>2.4681885258446057E-2</v>
      </c>
      <c r="R12" s="53">
        <f>+('Real per person (Core)'!Y15/'Real per person (Core)'!R15)^(1/(YEAR('Real per person (Core)'!$Y$2)-YEAR('Real per person (Core)'!$R$2)))-1</f>
        <v>-7.2956931105800926E-3</v>
      </c>
    </row>
    <row r="14" spans="1:18" x14ac:dyDescent="0.25">
      <c r="B14" s="158">
        <v>2009</v>
      </c>
      <c r="C14" s="158">
        <v>2016</v>
      </c>
      <c r="D14" s="158">
        <v>2017</v>
      </c>
      <c r="E14" s="158">
        <v>2021</v>
      </c>
      <c r="F14" s="158" t="s">
        <v>69</v>
      </c>
      <c r="G14" s="158" t="s">
        <v>70</v>
      </c>
      <c r="H14" s="158" t="s">
        <v>71</v>
      </c>
    </row>
    <row r="15" spans="1:18" x14ac:dyDescent="0.25">
      <c r="A15" s="158" t="s">
        <v>72</v>
      </c>
      <c r="B15" s="175">
        <f>'Real per person (Core)'!R37</f>
        <v>26.189807191892271</v>
      </c>
      <c r="C15" s="175">
        <f>'Real per person (Core)'!Y37</f>
        <v>16.69337384982191</v>
      </c>
      <c r="D15" s="175">
        <f>'Real per person (Core)'!Z37</f>
        <v>16.130032552362263</v>
      </c>
      <c r="E15" s="175">
        <f>'Real per person (Core)'!AD37</f>
        <v>15.846933850489739</v>
      </c>
      <c r="F15" s="175">
        <f t="shared" ref="F15:F24" si="1">C15-B15</f>
        <v>-9.496433342070361</v>
      </c>
      <c r="G15" s="175">
        <f t="shared" ref="G15:G24" si="2">D15-C15</f>
        <v>-0.56334129745964745</v>
      </c>
      <c r="H15" s="175">
        <f t="shared" ref="H15:H24" si="3">E15-D15</f>
        <v>-0.28309870187252351</v>
      </c>
    </row>
    <row r="16" spans="1:18" x14ac:dyDescent="0.25">
      <c r="A16" s="158" t="s">
        <v>27</v>
      </c>
      <c r="B16" s="175">
        <f>'Real per person (Core)'!R38</f>
        <v>8.6936503374560221</v>
      </c>
      <c r="C16" s="175">
        <f>'Real per person (Core)'!Y38</f>
        <v>8.2449476888686455</v>
      </c>
      <c r="D16" s="175">
        <f>'Real per person (Core)'!Z38</f>
        <v>8.3689495421203652</v>
      </c>
      <c r="E16" s="175">
        <f>'Real per person (Core)'!AD38</f>
        <v>8.8950837675460548</v>
      </c>
      <c r="F16" s="175">
        <f t="shared" si="1"/>
        <v>-0.44870264858737663</v>
      </c>
      <c r="G16" s="175">
        <f t="shared" si="2"/>
        <v>0.12400185325171975</v>
      </c>
      <c r="H16" s="175">
        <f t="shared" si="3"/>
        <v>0.52613422542568955</v>
      </c>
    </row>
    <row r="17" spans="1:8" x14ac:dyDescent="0.25">
      <c r="A17" s="158" t="s">
        <v>28</v>
      </c>
      <c r="B17" s="175">
        <f>'Real per person (Core)'!R39</f>
        <v>56.679433474990738</v>
      </c>
      <c r="C17" s="175">
        <f>'Real per person (Core)'!Y39</f>
        <v>53.54739471378759</v>
      </c>
      <c r="D17" s="175">
        <f>'Real per person (Core)'!Z39</f>
        <v>52.45692084133178</v>
      </c>
      <c r="E17" s="175">
        <f>'Real per person (Core)'!AD39</f>
        <v>54.236062679579838</v>
      </c>
      <c r="F17" s="175">
        <f t="shared" si="1"/>
        <v>-3.1320387612031482</v>
      </c>
      <c r="G17" s="175">
        <f t="shared" si="2"/>
        <v>-1.0904738724558101</v>
      </c>
      <c r="H17" s="175">
        <f t="shared" si="3"/>
        <v>1.7791418382480586</v>
      </c>
    </row>
    <row r="18" spans="1:8" x14ac:dyDescent="0.25">
      <c r="A18" s="158" t="s">
        <v>29</v>
      </c>
      <c r="B18" s="175">
        <f>'Real per person (Core)'!R40</f>
        <v>12.018711821104541</v>
      </c>
      <c r="C18" s="175">
        <f>'Real per person (Core)'!Y40</f>
        <v>14.60975429567544</v>
      </c>
      <c r="D18" s="175">
        <f>'Real per person (Core)'!Z40</f>
        <v>14.07112978309647</v>
      </c>
      <c r="E18" s="175">
        <f>'Real per person (Core)'!AD40</f>
        <v>13.021034161261648</v>
      </c>
      <c r="F18" s="175">
        <f t="shared" si="1"/>
        <v>2.5910424745708998</v>
      </c>
      <c r="G18" s="175">
        <f t="shared" si="2"/>
        <v>-0.53862451257896993</v>
      </c>
      <c r="H18" s="175">
        <f t="shared" si="3"/>
        <v>-1.0500956218348225</v>
      </c>
    </row>
    <row r="19" spans="1:8" x14ac:dyDescent="0.25">
      <c r="A19" s="158" t="s">
        <v>30</v>
      </c>
      <c r="B19" s="175">
        <f>'Real per person (Core)'!R41</f>
        <v>61.196964925245354</v>
      </c>
      <c r="C19" s="175">
        <f>'Real per person (Core)'!Y41</f>
        <v>63.591092095884242</v>
      </c>
      <c r="D19" s="175">
        <f>'Real per person (Core)'!Z41</f>
        <v>63.249493071845016</v>
      </c>
      <c r="E19" s="175">
        <f>'Real per person (Core)'!AD41</f>
        <v>64.588571710577668</v>
      </c>
      <c r="F19" s="175">
        <f t="shared" si="1"/>
        <v>2.3941271706388889</v>
      </c>
      <c r="G19" s="175">
        <f t="shared" si="2"/>
        <v>-0.34159902403922615</v>
      </c>
      <c r="H19" s="175">
        <f t="shared" si="3"/>
        <v>1.3390786387326514</v>
      </c>
    </row>
    <row r="20" spans="1:8" x14ac:dyDescent="0.25">
      <c r="A20" s="158" t="s">
        <v>31</v>
      </c>
      <c r="B20" s="175">
        <f>'Real per person (Core)'!R42</f>
        <v>15.284397206830763</v>
      </c>
      <c r="C20" s="175">
        <f>'Real per person (Core)'!Y42</f>
        <v>14.845789323293593</v>
      </c>
      <c r="D20" s="175">
        <f>'Real per person (Core)'!Z42</f>
        <v>15.557461496528346</v>
      </c>
      <c r="E20" s="175">
        <f>'Real per person (Core)'!AD42</f>
        <v>15.973517734874047</v>
      </c>
      <c r="F20" s="175">
        <f t="shared" si="1"/>
        <v>-0.43860788353716984</v>
      </c>
      <c r="G20" s="175">
        <f t="shared" si="2"/>
        <v>0.71167217323475285</v>
      </c>
      <c r="H20" s="175">
        <f t="shared" si="3"/>
        <v>0.4160562383457016</v>
      </c>
    </row>
    <row r="21" spans="1:8" x14ac:dyDescent="0.25">
      <c r="A21" s="158" t="s">
        <v>32</v>
      </c>
      <c r="B21" s="175">
        <f>'Real per person (Core)'!R43</f>
        <v>57.584918968305729</v>
      </c>
      <c r="C21" s="175">
        <f>'Real per person (Core)'!Y43</f>
        <v>48.077893384153107</v>
      </c>
      <c r="D21" s="175">
        <f>'Real per person (Core)'!Z43</f>
        <v>48.48029720697842</v>
      </c>
      <c r="E21" s="175">
        <f>'Real per person (Core)'!AD43</f>
        <v>45.826787333184384</v>
      </c>
      <c r="F21" s="175">
        <f t="shared" si="1"/>
        <v>-9.5070255841526219</v>
      </c>
      <c r="G21" s="175">
        <f t="shared" si="2"/>
        <v>0.40240382282531328</v>
      </c>
      <c r="H21" s="175">
        <f t="shared" si="3"/>
        <v>-2.6535098737940359</v>
      </c>
    </row>
    <row r="22" spans="1:8" x14ac:dyDescent="0.25">
      <c r="A22" s="158" t="s">
        <v>33</v>
      </c>
      <c r="B22" s="175">
        <f>'Real per person (Core)'!R44</f>
        <v>38.31737519252102</v>
      </c>
      <c r="C22" s="175">
        <f>'Real per person (Core)'!Y44</f>
        <v>49.921408341239733</v>
      </c>
      <c r="D22" s="175">
        <f>'Real per person (Core)'!Z44</f>
        <v>51.154909947243695</v>
      </c>
      <c r="E22" s="175">
        <f>'Real per person (Core)'!AD44</f>
        <v>54.478966890155142</v>
      </c>
      <c r="F22" s="175">
        <f t="shared" si="1"/>
        <v>11.604033148718713</v>
      </c>
      <c r="G22" s="175">
        <f t="shared" si="2"/>
        <v>1.2335016060039621</v>
      </c>
      <c r="H22" s="175">
        <f t="shared" si="3"/>
        <v>3.3240569429114473</v>
      </c>
    </row>
    <row r="23" spans="1:8" x14ac:dyDescent="0.25">
      <c r="A23" s="158" t="s">
        <v>34</v>
      </c>
      <c r="B23" s="175">
        <f>'Real per person (Core)'!R45</f>
        <v>40.717159150213774</v>
      </c>
      <c r="C23" s="175">
        <f>'Real per person (Core)'!Y45</f>
        <v>31.327545562147506</v>
      </c>
      <c r="D23" s="175">
        <f>'Real per person (Core)'!Z45</f>
        <v>34.322889593550876</v>
      </c>
      <c r="E23" s="175">
        <f>'Real per person (Core)'!AD45</f>
        <v>32.381526099932081</v>
      </c>
      <c r="F23" s="175">
        <f t="shared" si="1"/>
        <v>-9.3896135880662683</v>
      </c>
      <c r="G23" s="175">
        <f t="shared" si="2"/>
        <v>2.9953440314033699</v>
      </c>
      <c r="H23" s="175">
        <f t="shared" si="3"/>
        <v>-1.9413634936187947</v>
      </c>
    </row>
    <row r="24" spans="1:8" x14ac:dyDescent="0.25">
      <c r="A24" s="158" t="s">
        <v>35</v>
      </c>
      <c r="B24" s="175">
        <f>'Real per person (Core)'!R46</f>
        <v>316.68241826856018</v>
      </c>
      <c r="C24" s="175">
        <f>'Real per person (Core)'!Y46</f>
        <v>300.85919925487178</v>
      </c>
      <c r="D24" s="175">
        <f>'Real per person (Core)'!Z46</f>
        <v>303.7920840350572</v>
      </c>
      <c r="E24" s="175">
        <f>'Real per person (Core)'!AD46</f>
        <v>305.24848422760056</v>
      </c>
      <c r="F24" s="175">
        <f t="shared" si="1"/>
        <v>-15.823219013688401</v>
      </c>
      <c r="G24" s="175">
        <f t="shared" si="2"/>
        <v>2.9328847801854181</v>
      </c>
      <c r="H24" s="175">
        <f t="shared" si="3"/>
        <v>1.4564001925433558</v>
      </c>
    </row>
    <row r="26" spans="1:8" x14ac:dyDescent="0.25">
      <c r="B26" s="158">
        <v>2009</v>
      </c>
      <c r="C26" s="158">
        <v>2016</v>
      </c>
      <c r="D26" s="158">
        <v>2021</v>
      </c>
      <c r="E26" s="158" t="s">
        <v>69</v>
      </c>
      <c r="F26" s="158" t="s">
        <v>71</v>
      </c>
    </row>
    <row r="27" spans="1:8" x14ac:dyDescent="0.25">
      <c r="A27" s="158" t="s">
        <v>72</v>
      </c>
      <c r="B27" s="170">
        <f>'Real per person (Core)'!R6</f>
        <v>1365.6124974261195</v>
      </c>
      <c r="C27" s="170">
        <f>'Real per person (Core)'!Y6</f>
        <v>870.44092331387878</v>
      </c>
      <c r="D27" s="170">
        <f>'Real per person (Core)'!AD6</f>
        <v>826.30508707270133</v>
      </c>
      <c r="E27" s="170">
        <f t="shared" ref="E27:E36" si="4">C27-B27</f>
        <v>-495.17157411224071</v>
      </c>
      <c r="F27" s="170">
        <f t="shared" ref="F27:F36" si="5">D27-C27</f>
        <v>-44.135836241177458</v>
      </c>
    </row>
    <row r="28" spans="1:8" x14ac:dyDescent="0.25">
      <c r="A28" s="158" t="s">
        <v>27</v>
      </c>
      <c r="B28" s="170">
        <f>'Real per person (Core)'!R7</f>
        <v>453.31214018093556</v>
      </c>
      <c r="C28" s="170">
        <f>'Real per person (Core)'!Y7</f>
        <v>429.91548284590891</v>
      </c>
      <c r="D28" s="170">
        <f>'Real per person (Core)'!AD7</f>
        <v>463.81546338277712</v>
      </c>
      <c r="E28" s="170">
        <f t="shared" si="4"/>
        <v>-23.396657335026646</v>
      </c>
      <c r="F28" s="170">
        <f t="shared" si="5"/>
        <v>33.899980536868213</v>
      </c>
    </row>
    <row r="29" spans="1:8" x14ac:dyDescent="0.25">
      <c r="A29" s="158" t="s">
        <v>28</v>
      </c>
      <c r="B29" s="170">
        <f>'Real per person (Core)'!R8</f>
        <v>2955.4300317430943</v>
      </c>
      <c r="C29" s="170">
        <f>'Real per person (Core)'!Y8</f>
        <v>2792.1164478215546</v>
      </c>
      <c r="D29" s="170">
        <f>'Real per person (Core)'!AD8</f>
        <v>2828.0255926950636</v>
      </c>
      <c r="E29" s="170">
        <f t="shared" si="4"/>
        <v>-163.3135839215397</v>
      </c>
      <c r="F29" s="170">
        <f t="shared" si="5"/>
        <v>35.909144873508922</v>
      </c>
    </row>
    <row r="30" spans="1:8" x14ac:dyDescent="0.25">
      <c r="A30" s="158" t="s">
        <v>29</v>
      </c>
      <c r="B30" s="170">
        <f>'Real per person (Core)'!R9</f>
        <v>626.69048861667193</v>
      </c>
      <c r="C30" s="170">
        <f>'Real per person (Core)'!Y9</f>
        <v>761.79495726397488</v>
      </c>
      <c r="D30" s="170">
        <f>'Real per person (Core)'!AD9</f>
        <v>678.95448216724992</v>
      </c>
      <c r="E30" s="170">
        <f t="shared" si="4"/>
        <v>135.10446864730295</v>
      </c>
      <c r="F30" s="170">
        <f t="shared" si="5"/>
        <v>-82.840475096724958</v>
      </c>
    </row>
    <row r="31" spans="1:8" x14ac:dyDescent="0.25">
      <c r="A31" s="158" t="s">
        <v>30</v>
      </c>
      <c r="B31" s="170">
        <f>'Real per person (Core)'!R10</f>
        <v>3190.9872224005758</v>
      </c>
      <c r="C31" s="170">
        <f>'Real per person (Core)'!Y10</f>
        <v>3315.8239560464822</v>
      </c>
      <c r="D31" s="170">
        <f>'Real per person (Core)'!AD10</f>
        <v>3367.8354358474803</v>
      </c>
      <c r="E31" s="170">
        <f t="shared" si="4"/>
        <v>124.83673364590641</v>
      </c>
      <c r="F31" s="170">
        <f t="shared" si="5"/>
        <v>52.011479800998131</v>
      </c>
    </row>
    <row r="32" spans="1:8" x14ac:dyDescent="0.25">
      <c r="A32" s="158" t="s">
        <v>31</v>
      </c>
      <c r="B32" s="170">
        <f>'Real per person (Core)'!R11</f>
        <v>796.97279511605575</v>
      </c>
      <c r="C32" s="170">
        <f>'Real per person (Core)'!Y11</f>
        <v>774.10250810556545</v>
      </c>
      <c r="D32" s="170">
        <f>'Real per person (Core)'!AD11</f>
        <v>832.90553789776391</v>
      </c>
      <c r="E32" s="170">
        <f t="shared" si="4"/>
        <v>-22.870287010490301</v>
      </c>
      <c r="F32" s="170">
        <f t="shared" si="5"/>
        <v>58.803029792198458</v>
      </c>
    </row>
    <row r="33" spans="1:6" x14ac:dyDescent="0.25">
      <c r="A33" s="158" t="s">
        <v>32</v>
      </c>
      <c r="B33" s="170">
        <f>'Real per person (Core)'!R12</f>
        <v>3002.6446712724687</v>
      </c>
      <c r="C33" s="170">
        <f>'Real per person (Core)'!Y12</f>
        <v>2506.9207869405568</v>
      </c>
      <c r="D33" s="170">
        <f>'Real per person (Core)'!AD12</f>
        <v>2389.5415892354999</v>
      </c>
      <c r="E33" s="170">
        <f t="shared" si="4"/>
        <v>-495.7238843319119</v>
      </c>
      <c r="F33" s="170">
        <f t="shared" si="5"/>
        <v>-117.37919770505687</v>
      </c>
    </row>
    <row r="34" spans="1:6" x14ac:dyDescent="0.25">
      <c r="A34" s="158" t="s">
        <v>33</v>
      </c>
      <c r="B34" s="170">
        <f>'Real per person (Core)'!R13</f>
        <v>1997.9790629261042</v>
      </c>
      <c r="C34" s="170">
        <f>'Real per person (Core)'!Y13</f>
        <v>2603.047002996429</v>
      </c>
      <c r="D34" s="170">
        <f>'Real per person (Core)'!AD13</f>
        <v>2840.6913226566703</v>
      </c>
      <c r="E34" s="170">
        <f t="shared" si="4"/>
        <v>605.06794007032477</v>
      </c>
      <c r="F34" s="170">
        <f t="shared" si="5"/>
        <v>237.64431966024131</v>
      </c>
    </row>
    <row r="35" spans="1:6" x14ac:dyDescent="0.25">
      <c r="A35" s="158" t="s">
        <v>34</v>
      </c>
      <c r="B35" s="170">
        <f>'Real per person (Core)'!R14</f>
        <v>2123.1107578536817</v>
      </c>
      <c r="C35" s="170">
        <f>'Real per person (Core)'!Y14</f>
        <v>1633.5090754925011</v>
      </c>
      <c r="D35" s="170">
        <f>'Real per person (Core)'!AD14</f>
        <v>1688.4666772761484</v>
      </c>
      <c r="E35" s="170">
        <f t="shared" si="4"/>
        <v>-489.60168236118056</v>
      </c>
      <c r="F35" s="170">
        <f t="shared" si="5"/>
        <v>54.957601783647306</v>
      </c>
    </row>
    <row r="36" spans="1:6" x14ac:dyDescent="0.25">
      <c r="A36" s="158" t="s">
        <v>35</v>
      </c>
      <c r="B36" s="170">
        <f>'Real per person (Core)'!R15</f>
        <v>16512.739667535705</v>
      </c>
      <c r="C36" s="170">
        <f>'Real per person (Core)'!Y15</f>
        <v>15687.671140826853</v>
      </c>
      <c r="D36" s="170">
        <f>'Real per person (Core)'!AD15</f>
        <v>15916.541188231353</v>
      </c>
      <c r="E36" s="170">
        <f t="shared" si="4"/>
        <v>-825.068526708852</v>
      </c>
      <c r="F36" s="170">
        <f t="shared" si="5"/>
        <v>228.87004740449993</v>
      </c>
    </row>
    <row r="38" spans="1:6" ht="27.95" customHeight="1" x14ac:dyDescent="0.25">
      <c r="A38" s="185" t="s">
        <v>73</v>
      </c>
      <c r="B38" s="185" t="s">
        <v>70</v>
      </c>
      <c r="C38" s="76" t="s">
        <v>222</v>
      </c>
      <c r="D38" s="76" t="s">
        <v>74</v>
      </c>
      <c r="E38" s="76" t="s">
        <v>223</v>
      </c>
    </row>
    <row r="39" spans="1:6" x14ac:dyDescent="0.25">
      <c r="A39" s="158" t="str">
        <f t="shared" ref="A39:A48" si="6">A3</f>
        <v>Core govt services</v>
      </c>
      <c r="B39" s="168">
        <f>+J3</f>
        <v>-3.374640156792863E-2</v>
      </c>
      <c r="C39" s="168">
        <f>K3</f>
        <v>0.12327265167499446</v>
      </c>
      <c r="D39" s="168">
        <f>O3</f>
        <v>-7.9056296465789492E-3</v>
      </c>
      <c r="E39" s="53">
        <f>'Real per person (Core)'!AD37/'Real per person (Core)'!Z37-1</f>
        <v>-1.7551031031928233E-2</v>
      </c>
    </row>
    <row r="40" spans="1:6" x14ac:dyDescent="0.25">
      <c r="A40" s="158" t="str">
        <f t="shared" si="6"/>
        <v>Defence</v>
      </c>
      <c r="B40" s="168">
        <f t="shared" ref="B40:B48" si="7">+J4</f>
        <v>1.5039738022732507E-2</v>
      </c>
      <c r="C40" s="168">
        <f t="shared" ref="C40:C48" si="8">K4</f>
        <v>2.6222766764202987E-2</v>
      </c>
      <c r="D40" s="168">
        <f t="shared" ref="D40:D48" si="9">O4</f>
        <v>1.5377512374258773E-2</v>
      </c>
      <c r="E40" s="53">
        <f>'Real per person (Core)'!AD38/'Real per person (Core)'!Z38-1</f>
        <v>6.2867415172918717E-2</v>
      </c>
    </row>
    <row r="41" spans="1:6" x14ac:dyDescent="0.25">
      <c r="A41" s="158" t="str">
        <f t="shared" si="6"/>
        <v>Education</v>
      </c>
      <c r="B41" s="168">
        <f t="shared" si="7"/>
        <v>-2.036464851902553E-2</v>
      </c>
      <c r="C41" s="168">
        <f t="shared" si="8"/>
        <v>-2.8962863343345857E-3</v>
      </c>
      <c r="D41" s="168">
        <f t="shared" si="9"/>
        <v>2.6561550637664855E-3</v>
      </c>
      <c r="E41" s="53">
        <f>'Real per person (Core)'!AD39/'Real per person (Core)'!Z39-1</f>
        <v>3.3916246125644589E-2</v>
      </c>
    </row>
    <row r="42" spans="1:6" x14ac:dyDescent="0.25">
      <c r="A42" s="158" t="str">
        <f t="shared" si="6"/>
        <v>Finance costs</v>
      </c>
      <c r="B42" s="168">
        <f t="shared" si="7"/>
        <v>-3.6867458663449648E-2</v>
      </c>
      <c r="C42" s="168">
        <f t="shared" si="8"/>
        <v>-5.7482091144774206E-2</v>
      </c>
      <c r="D42" s="168">
        <f t="shared" si="9"/>
        <v>-2.2004268251706295E-2</v>
      </c>
      <c r="E42" s="53">
        <f>'Real per person (Core)'!AD40/'Real per person (Core)'!Z40-1</f>
        <v>-7.4627669421135856E-2</v>
      </c>
    </row>
    <row r="43" spans="1:6" x14ac:dyDescent="0.25">
      <c r="A43" s="158" t="str">
        <f t="shared" si="6"/>
        <v>Health</v>
      </c>
      <c r="B43" s="168">
        <f t="shared" si="7"/>
        <v>-5.3718062197162242E-3</v>
      </c>
      <c r="C43" s="168">
        <f t="shared" si="8"/>
        <v>1.1673014622612055E-2</v>
      </c>
      <c r="D43" s="168">
        <f t="shared" si="9"/>
        <v>3.1481202599545899E-3</v>
      </c>
      <c r="E43" s="53">
        <f>'Real per person (Core)'!AD41/'Real per person (Core)'!Z41-1</f>
        <v>2.1171373456093878E-2</v>
      </c>
    </row>
    <row r="44" spans="1:6" x14ac:dyDescent="0.25">
      <c r="A44" s="158" t="str">
        <f t="shared" si="6"/>
        <v>Law and order</v>
      </c>
      <c r="B44" s="168">
        <f t="shared" si="7"/>
        <v>4.7937644657136014E-2</v>
      </c>
      <c r="C44" s="168">
        <f t="shared" si="8"/>
        <v>-8.6633137482066136E-3</v>
      </c>
      <c r="D44" s="168">
        <f t="shared" si="9"/>
        <v>1.4922322810163591E-2</v>
      </c>
      <c r="E44" s="53">
        <f>'Real per person (Core)'!AD42/'Real per person (Core)'!Z42-1</f>
        <v>2.6743195760988714E-2</v>
      </c>
    </row>
    <row r="45" spans="1:6" x14ac:dyDescent="0.25">
      <c r="A45" s="158" t="str">
        <f t="shared" si="6"/>
        <v>Welfare</v>
      </c>
      <c r="B45" s="168">
        <f t="shared" si="7"/>
        <v>8.3698305915780313E-3</v>
      </c>
      <c r="C45" s="168">
        <f t="shared" si="8"/>
        <v>-9.2146503245302824E-3</v>
      </c>
      <c r="D45" s="168">
        <f t="shared" si="9"/>
        <v>-9.4272800268267783E-3</v>
      </c>
      <c r="E45" s="53">
        <f>'Real per person (Core)'!AD43/'Real per person (Core)'!Z43-1</f>
        <v>-5.4733779012643535E-2</v>
      </c>
    </row>
    <row r="46" spans="1:6" x14ac:dyDescent="0.25">
      <c r="A46" s="158" t="str">
        <f t="shared" si="6"/>
        <v>NZ super</v>
      </c>
      <c r="B46" s="168">
        <f t="shared" si="7"/>
        <v>2.4708870342204925E-2</v>
      </c>
      <c r="C46" s="168">
        <f t="shared" si="8"/>
        <v>1.4689001410885361E-2</v>
      </c>
      <c r="D46" s="168">
        <f t="shared" si="9"/>
        <v>1.7635540587714261E-2</v>
      </c>
      <c r="E46" s="53">
        <f>'Real per person (Core)'!AD44/'Real per person (Core)'!Z44-1</f>
        <v>6.4980212971532225E-2</v>
      </c>
    </row>
    <row r="47" spans="1:6" x14ac:dyDescent="0.25">
      <c r="A47" s="158" t="str">
        <f t="shared" si="6"/>
        <v>All other</v>
      </c>
      <c r="B47" s="168">
        <f t="shared" si="7"/>
        <v>9.5613747507324209E-2</v>
      </c>
      <c r="C47" s="168">
        <f t="shared" si="8"/>
        <v>-1.0387791027459126E-2</v>
      </c>
      <c r="D47" s="168">
        <f t="shared" si="9"/>
        <v>7.5934606858672152E-3</v>
      </c>
      <c r="E47" s="53">
        <f>'Real per person (Core)'!AD45/'Real per person (Core)'!Z45-1</f>
        <v>-5.6561773108507962E-2</v>
      </c>
    </row>
    <row r="48" spans="1:6" x14ac:dyDescent="0.25">
      <c r="A48" s="158" t="str">
        <f t="shared" si="6"/>
        <v>Total core Crown expenses excluding losses</v>
      </c>
      <c r="B48" s="168">
        <f t="shared" si="7"/>
        <v>9.7483633123041091E-3</v>
      </c>
      <c r="C48" s="168">
        <f t="shared" si="8"/>
        <v>5.9210242924754297E-3</v>
      </c>
      <c r="D48" s="168">
        <f t="shared" si="9"/>
        <v>2.9104266665383794E-3</v>
      </c>
      <c r="E48" s="53">
        <f>'Real per person (Core)'!AD46/'Real per person (Core)'!Z46-1</f>
        <v>4.7940689342493847E-3</v>
      </c>
    </row>
  </sheetData>
  <mergeCells count="4">
    <mergeCell ref="B1:N1"/>
    <mergeCell ref="P1:P2"/>
    <mergeCell ref="R1:R2"/>
    <mergeCell ref="Q1:Q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Z43"/>
  <sheetViews>
    <sheetView topLeftCell="B19" workbookViewId="0">
      <selection activeCell="K51" sqref="K51"/>
    </sheetView>
  </sheetViews>
  <sheetFormatPr defaultRowHeight="15" x14ac:dyDescent="0.25"/>
  <cols>
    <col min="1" max="1" width="71.140625" bestFit="1" customWidth="1"/>
  </cols>
  <sheetData>
    <row r="1" spans="1:26" x14ac:dyDescent="0.25">
      <c r="A1" s="158" t="s">
        <v>75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row>
    <row r="2" spans="1:26" x14ac:dyDescent="0.25">
      <c r="A2" s="158"/>
      <c r="B2" s="115">
        <f>+'Nominal per person (Core)'!B2</f>
        <v>34121</v>
      </c>
      <c r="C2" s="115">
        <f>+'Nominal per person (Core)'!C2</f>
        <v>34486</v>
      </c>
      <c r="D2" s="115">
        <f>+'Nominal per person (Core)'!D2</f>
        <v>34851</v>
      </c>
      <c r="E2" s="115">
        <f>+'Nominal per person (Core)'!E2</f>
        <v>35217</v>
      </c>
      <c r="F2" s="115">
        <f>+'Nominal per person (Core)'!F2</f>
        <v>35582</v>
      </c>
      <c r="G2" s="115">
        <f>+'Nominal per person (Core)'!G2</f>
        <v>35947</v>
      </c>
      <c r="H2" s="115">
        <f>+'Nominal per person (Core)'!H2</f>
        <v>36312</v>
      </c>
      <c r="I2" s="115">
        <f>+'Nominal per person (Core)'!I2</f>
        <v>36678</v>
      </c>
      <c r="J2" s="115">
        <f>+'Nominal per person (Core)'!J2</f>
        <v>37043</v>
      </c>
      <c r="K2" s="115">
        <f>+'Nominal per person (Core)'!K2</f>
        <v>37408</v>
      </c>
      <c r="L2" s="115">
        <f>+'Nominal per person (Core)'!L2</f>
        <v>37773</v>
      </c>
      <c r="M2" s="115">
        <f>+'Nominal per person (Core)'!M2</f>
        <v>38139</v>
      </c>
      <c r="N2" s="115">
        <f>+'Nominal per person (Core)'!N2</f>
        <v>38504</v>
      </c>
      <c r="O2" s="115">
        <f>+'Nominal per person (Core)'!O2</f>
        <v>38869</v>
      </c>
      <c r="P2" s="115">
        <f>+'Nominal per person (Core)'!P2</f>
        <v>39234</v>
      </c>
      <c r="Q2" s="115">
        <f>+'Nominal per person (Core)'!Q2</f>
        <v>39600</v>
      </c>
      <c r="R2" s="115">
        <f>+'Nominal per person (Core)'!R2</f>
        <v>39965</v>
      </c>
      <c r="S2" s="115">
        <f>+'Nominal per person (Core)'!S2</f>
        <v>40330</v>
      </c>
      <c r="T2" s="115">
        <f>+'Nominal per person (Core)'!T2</f>
        <v>40695</v>
      </c>
      <c r="U2" s="115">
        <f>+'Nominal per person (Core)'!U2</f>
        <v>41061</v>
      </c>
      <c r="V2" s="115">
        <f>+'Nominal per person (Core)'!V2</f>
        <v>41426</v>
      </c>
      <c r="W2" s="115">
        <f>+'Nominal per person (Core)'!W2</f>
        <v>41791</v>
      </c>
      <c r="X2" s="115">
        <f>+'Nominal per person (Core)'!X2</f>
        <v>42156</v>
      </c>
      <c r="Y2" s="115">
        <f>+'Nominal per person (Core)'!Y2</f>
        <v>42522</v>
      </c>
      <c r="Z2" s="115"/>
    </row>
    <row r="3" spans="1:26" x14ac:dyDescent="0.25">
      <c r="A3" s="158" t="s">
        <v>76</v>
      </c>
      <c r="B3" s="40">
        <f>+'Aggregated expenditure (Core)'!B13*1000000/Population!D$3</f>
        <v>12655.834541814642</v>
      </c>
      <c r="C3" s="40">
        <f>+'Aggregated expenditure (Core)'!C13*1000000/Population!E$3</f>
        <v>11911.315351048534</v>
      </c>
      <c r="D3" s="40">
        <f>+'Aggregated expenditure (Core)'!D13*1000000/Population!F$3</f>
        <v>11655.763107354695</v>
      </c>
      <c r="E3" s="40">
        <f>+'Aggregated expenditure (Core)'!E13*1000000/Population!G$3</f>
        <v>11671.452120087288</v>
      </c>
      <c r="F3" s="40">
        <f>+'Aggregated expenditure (Core)'!F13*1000000/Population!H$3</f>
        <v>11658.298420049576</v>
      </c>
      <c r="G3" s="40">
        <f>+'Aggregated expenditure (Core)'!G13*1000000/Population!I$3</f>
        <v>11546.811397557667</v>
      </c>
      <c r="H3" s="40">
        <f>+'Aggregated expenditure (Core)'!H13*1000000/Population!J$3</f>
        <v>11321.723599017638</v>
      </c>
      <c r="I3" s="40">
        <f>+'Aggregated expenditure (Core)'!I13*1000000/Population!K$3</f>
        <v>11175.303197353915</v>
      </c>
      <c r="J3" s="40">
        <f>+'Aggregated expenditure (Core)'!J13*1000000/Population!L$3</f>
        <v>11448.111159357361</v>
      </c>
      <c r="K3" s="40">
        <f>+'Aggregated expenditure (Core)'!K13*1000000/Population!M$3</f>
        <v>11657.754010695187</v>
      </c>
      <c r="L3" s="40">
        <f>+'Aggregated expenditure (Core)'!L13*1000000/Population!N$3</f>
        <v>11860.416228715578</v>
      </c>
      <c r="M3" s="40">
        <f>+'Aggregated expenditure (Core)'!M13*1000000/Population!O$3</f>
        <v>12152.290548906314</v>
      </c>
      <c r="N3" s="40">
        <f>+'Aggregated expenditure (Core)'!N13*1000000/Population!P$3</f>
        <v>12254.230459307011</v>
      </c>
      <c r="O3" s="40">
        <f>+'Aggregated expenditure (Core)'!O13*1000000/Population!Q$3</f>
        <v>12537.138389366693</v>
      </c>
      <c r="P3" s="40">
        <f>+'Aggregated expenditure (Core)'!P13*1000000/Population!R$3</f>
        <v>12964.020559680182</v>
      </c>
      <c r="Q3" s="40">
        <f>+'Aggregated expenditure (Core)'!Q13*1000000/Population!S$3</f>
        <v>13734.579439252337</v>
      </c>
      <c r="R3" s="40">
        <f>+'Aggregated expenditure (Core)'!R13*1000000/Population!T$3</f>
        <v>14123.654933430604</v>
      </c>
      <c r="S3" s="40">
        <f>+'Aggregated expenditure (Core)'!S13*1000000/Population!U$3</f>
        <v>14711.623779946762</v>
      </c>
      <c r="T3" s="40">
        <f>+'Aggregated expenditure (Core)'!T13*1000000/Population!V$3</f>
        <v>15221.513532149629</v>
      </c>
      <c r="U3" s="40">
        <f>+'Aggregated expenditure (Core)'!U13*1000000/Population!W$3</f>
        <v>15893.864013266999</v>
      </c>
      <c r="V3" s="40">
        <f>+'Aggregated expenditure (Core)'!V13*1000000/Population!X$3</f>
        <v>16349.840255591054</v>
      </c>
      <c r="W3" s="40">
        <f>+'Aggregated expenditure (Core)'!W13*1000000/Population!Y$3</f>
        <v>16778.905289052891</v>
      </c>
      <c r="X3" s="40">
        <f>+'Aggregated expenditure (Core)'!X13*1000000/Population!Z$3</f>
        <v>17189.678184784221</v>
      </c>
      <c r="Y3" s="40">
        <f>+'Aggregated expenditure (Core)'!Y13*1000000/Population!AA$3</f>
        <v>17564.432989690722</v>
      </c>
      <c r="Z3" s="158"/>
    </row>
    <row r="4" spans="1:26" x14ac:dyDescent="0.25">
      <c r="A4" s="158" t="s">
        <v>59</v>
      </c>
      <c r="B4" s="158">
        <f>+B3/Inflation!B$3</f>
        <v>20163.834345049214</v>
      </c>
      <c r="C4" s="158">
        <f>+C3/Inflation!C$3</f>
        <v>18772.3373993614</v>
      </c>
      <c r="D4" s="158">
        <f>+D3/Inflation!D$3</f>
        <v>17564.822044990924</v>
      </c>
      <c r="E4" s="158">
        <f>+E3/Inflation!E$3</f>
        <v>17243.59298420079</v>
      </c>
      <c r="F4" s="158">
        <f>+F3/Inflation!F$3</f>
        <v>17033.310073310211</v>
      </c>
      <c r="G4" s="158">
        <f>+G3/Inflation!G$3</f>
        <v>16594.611684868873</v>
      </c>
      <c r="H4" s="158">
        <f>+H3/Inflation!H$3</f>
        <v>16330.454127224963</v>
      </c>
      <c r="I4" s="158">
        <f>+I3/Inflation!I$3</f>
        <v>15803.193453593949</v>
      </c>
      <c r="J4" s="158">
        <f>+J3/Inflation!J$3</f>
        <v>15681.62919718048</v>
      </c>
      <c r="K4" s="158">
        <f>+K3/Inflation!K$3</f>
        <v>15540.798883165393</v>
      </c>
      <c r="L4" s="158">
        <f>+L3/Inflation!L$3</f>
        <v>15580.568648902303</v>
      </c>
      <c r="M4" s="158">
        <f>+M3/Inflation!M$3</f>
        <v>15594.7187626409</v>
      </c>
      <c r="N4" s="158">
        <f>+N3/Inflation!N$3</f>
        <v>15285.942360881927</v>
      </c>
      <c r="O4" s="158">
        <f>+O3/Inflation!O$3</f>
        <v>15044.566067240032</v>
      </c>
      <c r="P4" s="158">
        <f>+P3/Inflation!P$3</f>
        <v>15251.788893741392</v>
      </c>
      <c r="Q4" s="158">
        <f>+Q3/Inflation!Q$3</f>
        <v>15533.925850238269</v>
      </c>
      <c r="R4" s="158">
        <f>+R3/Inflation!R$3</f>
        <v>15678.432858572362</v>
      </c>
      <c r="S4" s="158">
        <f>+S3/Inflation!S$3</f>
        <v>16063.647439432314</v>
      </c>
      <c r="T4" s="158">
        <f>+T3/Inflation!T$3</f>
        <v>15787.22233239374</v>
      </c>
      <c r="U4" s="158">
        <f>+U3/Inflation!U$3</f>
        <v>16329.312342397601</v>
      </c>
      <c r="V4" s="158">
        <f>+V3/Inflation!V$3</f>
        <v>16683.51046488883</v>
      </c>
      <c r="W4" s="158">
        <f>+W3/Inflation!W$3</f>
        <v>16849.109913693279</v>
      </c>
      <c r="X4" s="158">
        <f>+X3/Inflation!X$3</f>
        <v>17189.678184784221</v>
      </c>
      <c r="Y4" s="158">
        <f>+Y3/Inflation!Y$3</f>
        <v>17491.551525003208</v>
      </c>
      <c r="Z4" s="158"/>
    </row>
    <row r="6" spans="1:26" x14ac:dyDescent="0.25">
      <c r="A6" s="158" t="s">
        <v>77</v>
      </c>
      <c r="B6" s="158"/>
      <c r="C6" s="158"/>
      <c r="D6" s="158"/>
      <c r="E6" s="158"/>
      <c r="F6" s="158"/>
      <c r="G6" s="158"/>
      <c r="H6" s="158"/>
      <c r="I6" s="158"/>
      <c r="J6" s="158"/>
      <c r="K6" s="158"/>
      <c r="L6" s="158"/>
      <c r="M6" s="158"/>
      <c r="N6" s="158"/>
      <c r="O6" s="158"/>
      <c r="P6" s="158"/>
      <c r="Q6" s="158"/>
      <c r="R6" s="158"/>
      <c r="S6" s="158"/>
      <c r="T6" s="158"/>
      <c r="U6" s="158"/>
      <c r="V6" s="158"/>
      <c r="W6" s="158"/>
      <c r="X6" s="158"/>
      <c r="Y6" s="158"/>
      <c r="Z6" s="158"/>
    </row>
    <row r="7" spans="1:26" x14ac:dyDescent="0.25">
      <c r="A7" s="158" t="s">
        <v>78</v>
      </c>
      <c r="B7" s="158"/>
      <c r="C7" s="158"/>
      <c r="D7" s="158"/>
      <c r="E7" s="158"/>
      <c r="F7" s="158"/>
      <c r="G7" s="158"/>
      <c r="H7" s="158"/>
      <c r="I7" s="158"/>
      <c r="J7" s="158"/>
      <c r="K7" s="158"/>
      <c r="L7" s="158"/>
      <c r="M7" s="158"/>
      <c r="N7" s="158"/>
      <c r="O7" s="158"/>
      <c r="P7" s="158"/>
      <c r="Q7" s="158"/>
      <c r="R7" s="158"/>
      <c r="S7" s="158"/>
      <c r="T7" s="158"/>
      <c r="U7" s="158"/>
      <c r="V7" s="158"/>
      <c r="W7" s="158"/>
      <c r="X7" s="158"/>
      <c r="Y7" s="158"/>
      <c r="Z7" s="158"/>
    </row>
    <row r="8" spans="1:26" x14ac:dyDescent="0.25">
      <c r="A8" s="158" t="s">
        <v>52</v>
      </c>
      <c r="B8" s="158"/>
      <c r="C8" s="158"/>
      <c r="D8" s="158"/>
      <c r="E8" s="158"/>
      <c r="F8" s="158"/>
      <c r="G8" s="158"/>
      <c r="H8" s="158"/>
      <c r="I8" s="158"/>
      <c r="J8" s="158"/>
      <c r="K8" s="158"/>
      <c r="L8" s="158"/>
      <c r="M8" s="158"/>
      <c r="N8" s="158"/>
      <c r="O8" s="158"/>
      <c r="P8" s="158"/>
      <c r="Q8" s="158"/>
      <c r="R8" s="158"/>
      <c r="S8" s="158"/>
      <c r="T8" s="158"/>
      <c r="U8" s="158"/>
      <c r="V8" s="158"/>
      <c r="W8" s="158"/>
      <c r="X8" s="158"/>
      <c r="Y8" s="158"/>
      <c r="Z8" s="158"/>
    </row>
    <row r="9" spans="1:26" x14ac:dyDescent="0.25">
      <c r="A9" s="158" t="s">
        <v>76</v>
      </c>
      <c r="B9" s="158">
        <f>+B3/52.1429</f>
        <v>242.71443555718309</v>
      </c>
      <c r="C9" s="158">
        <f t="shared" ref="C9:Y9" si="0">+C3/52.1429</f>
        <v>228.43599705901539</v>
      </c>
      <c r="D9" s="158">
        <f t="shared" si="0"/>
        <v>223.53499915337841</v>
      </c>
      <c r="E9" s="158">
        <f t="shared" si="0"/>
        <v>223.83588408176931</v>
      </c>
      <c r="F9" s="158">
        <f t="shared" si="0"/>
        <v>223.5836215486591</v>
      </c>
      <c r="G9" s="158">
        <f t="shared" si="0"/>
        <v>221.44551602533937</v>
      </c>
      <c r="H9" s="158">
        <f t="shared" si="0"/>
        <v>217.12876727258435</v>
      </c>
      <c r="I9" s="158">
        <f t="shared" si="0"/>
        <v>214.32070708291857</v>
      </c>
      <c r="J9" s="158">
        <f t="shared" si="0"/>
        <v>219.55263630057709</v>
      </c>
      <c r="K9" s="158">
        <f t="shared" si="0"/>
        <v>223.57318082989607</v>
      </c>
      <c r="L9" s="158">
        <f t="shared" si="0"/>
        <v>227.45985030973685</v>
      </c>
      <c r="M9" s="158">
        <f t="shared" si="0"/>
        <v>233.05743541127009</v>
      </c>
      <c r="N9" s="158">
        <f t="shared" si="0"/>
        <v>235.01244578469959</v>
      </c>
      <c r="O9" s="158">
        <f t="shared" si="0"/>
        <v>240.43807286067124</v>
      </c>
      <c r="P9" s="158">
        <f t="shared" si="0"/>
        <v>248.62484748029325</v>
      </c>
      <c r="Q9" s="158">
        <f t="shared" si="0"/>
        <v>263.40267686017341</v>
      </c>
      <c r="R9" s="158">
        <f t="shared" si="0"/>
        <v>270.86439253341501</v>
      </c>
      <c r="S9" s="158">
        <f t="shared" si="0"/>
        <v>282.14049813007642</v>
      </c>
      <c r="T9" s="158">
        <f t="shared" si="0"/>
        <v>291.91919766928248</v>
      </c>
      <c r="U9" s="158">
        <f t="shared" si="0"/>
        <v>304.81357985971243</v>
      </c>
      <c r="V9" s="158">
        <f t="shared" si="0"/>
        <v>313.5583225250428</v>
      </c>
      <c r="W9" s="158">
        <f t="shared" si="0"/>
        <v>321.78696023912926</v>
      </c>
      <c r="X9" s="158">
        <f t="shared" si="0"/>
        <v>329.6647901206918</v>
      </c>
      <c r="Y9" s="158">
        <f t="shared" si="0"/>
        <v>336.85186266377059</v>
      </c>
      <c r="Z9" s="158"/>
    </row>
    <row r="10" spans="1:26" x14ac:dyDescent="0.25">
      <c r="A10" s="158" t="s">
        <v>59</v>
      </c>
      <c r="B10" s="158">
        <f>+B4/52.1429</f>
        <v>386.70335453243325</v>
      </c>
      <c r="C10" s="158">
        <f t="shared" ref="C10:Y10" si="1">+C4/52.1429</f>
        <v>360.01713367230059</v>
      </c>
      <c r="D10" s="158">
        <f t="shared" si="1"/>
        <v>336.85932399216239</v>
      </c>
      <c r="E10" s="158">
        <f t="shared" si="1"/>
        <v>330.69877172540828</v>
      </c>
      <c r="F10" s="158">
        <f t="shared" si="1"/>
        <v>326.66595209146811</v>
      </c>
      <c r="G10" s="158">
        <f t="shared" si="1"/>
        <v>318.25256525565078</v>
      </c>
      <c r="H10" s="158">
        <f t="shared" si="1"/>
        <v>313.18653406743704</v>
      </c>
      <c r="I10" s="158">
        <f t="shared" si="1"/>
        <v>303.0746938431493</v>
      </c>
      <c r="J10" s="158">
        <f t="shared" si="1"/>
        <v>300.74332645826144</v>
      </c>
      <c r="K10" s="158">
        <f t="shared" si="1"/>
        <v>298.04247334086506</v>
      </c>
      <c r="L10" s="158">
        <f t="shared" si="1"/>
        <v>298.80518055003279</v>
      </c>
      <c r="M10" s="158">
        <f t="shared" si="1"/>
        <v>299.07655237128927</v>
      </c>
      <c r="N10" s="158">
        <f t="shared" si="1"/>
        <v>293.15481802665226</v>
      </c>
      <c r="O10" s="158">
        <f t="shared" si="1"/>
        <v>288.52568743280546</v>
      </c>
      <c r="P10" s="158">
        <f t="shared" si="1"/>
        <v>292.49982056505092</v>
      </c>
      <c r="Q10" s="158">
        <f t="shared" si="1"/>
        <v>297.91066185882011</v>
      </c>
      <c r="R10" s="158">
        <f t="shared" si="1"/>
        <v>300.68202686410541</v>
      </c>
      <c r="S10" s="158">
        <f t="shared" si="1"/>
        <v>308.06969768525175</v>
      </c>
      <c r="T10" s="158">
        <f t="shared" si="1"/>
        <v>302.76839861982631</v>
      </c>
      <c r="U10" s="158">
        <f t="shared" si="1"/>
        <v>313.1646368421703</v>
      </c>
      <c r="V10" s="158">
        <f t="shared" si="1"/>
        <v>319.95747196432939</v>
      </c>
      <c r="W10" s="158">
        <f t="shared" si="1"/>
        <v>323.13334919410465</v>
      </c>
      <c r="X10" s="158">
        <f t="shared" si="1"/>
        <v>329.6647901206918</v>
      </c>
      <c r="Y10" s="158">
        <f t="shared" si="1"/>
        <v>335.4541370925516</v>
      </c>
      <c r="Z10" s="158"/>
    </row>
    <row r="15" spans="1:26" x14ac:dyDescent="0.25">
      <c r="A15" s="158" t="s">
        <v>32</v>
      </c>
      <c r="B15" s="158"/>
      <c r="C15" s="158"/>
      <c r="D15" s="158"/>
      <c r="E15" s="158"/>
      <c r="F15" s="158"/>
      <c r="G15" s="77"/>
      <c r="H15" s="78"/>
      <c r="I15" s="78" t="s">
        <v>79</v>
      </c>
      <c r="J15" s="79"/>
      <c r="K15" s="158"/>
      <c r="L15" s="158"/>
      <c r="M15" s="158"/>
      <c r="N15" s="158"/>
      <c r="O15" s="158"/>
      <c r="P15" s="158"/>
      <c r="Q15" s="158"/>
      <c r="R15" s="158"/>
      <c r="S15" s="158"/>
      <c r="T15" s="158"/>
      <c r="U15" s="158"/>
      <c r="V15" s="158"/>
      <c r="W15" s="158"/>
      <c r="X15" s="158"/>
      <c r="Y15" s="158"/>
      <c r="Z15" s="158"/>
    </row>
    <row r="16" spans="1:26" x14ac:dyDescent="0.25">
      <c r="A16" s="158"/>
      <c r="B16" s="158"/>
      <c r="C16" s="158"/>
      <c r="D16" s="158"/>
      <c r="E16" s="158"/>
      <c r="F16" s="158"/>
      <c r="G16" s="80"/>
      <c r="H16" s="55"/>
      <c r="I16" s="55"/>
      <c r="J16" s="81"/>
      <c r="K16" s="158"/>
      <c r="L16" s="158"/>
      <c r="M16" s="158"/>
      <c r="N16" s="158"/>
      <c r="O16" s="158"/>
      <c r="P16" s="158"/>
      <c r="Q16" s="158"/>
      <c r="R16" s="158"/>
      <c r="S16" s="158"/>
      <c r="T16" s="158"/>
      <c r="U16" s="158"/>
      <c r="V16" s="158"/>
      <c r="W16" s="158"/>
      <c r="X16" s="158"/>
      <c r="Y16" s="158"/>
      <c r="Z16" s="158"/>
    </row>
    <row r="17" spans="1:10" x14ac:dyDescent="0.25">
      <c r="A17" s="158"/>
      <c r="B17" s="158"/>
      <c r="C17" s="158"/>
      <c r="D17" s="158"/>
      <c r="E17" s="158"/>
      <c r="F17" s="158"/>
      <c r="G17" s="80"/>
      <c r="H17" s="55">
        <f>+B19</f>
        <v>2014</v>
      </c>
      <c r="I17" s="55">
        <f t="shared" ref="I17:J17" si="2">+C19</f>
        <v>2015</v>
      </c>
      <c r="J17" s="81">
        <f t="shared" si="2"/>
        <v>2016</v>
      </c>
    </row>
    <row r="18" spans="1:10" x14ac:dyDescent="0.25">
      <c r="A18" s="145" t="s">
        <v>50</v>
      </c>
      <c r="B18" s="78"/>
      <c r="C18" s="78"/>
      <c r="D18" s="79"/>
      <c r="E18" s="158"/>
      <c r="F18" s="158"/>
      <c r="G18" s="147" t="s">
        <v>80</v>
      </c>
      <c r="H18" s="152">
        <f>+B31</f>
        <v>259.55560622928266</v>
      </c>
      <c r="I18" s="152">
        <f t="shared" ref="I18:J20" si="3">+C31</f>
        <v>267.61072043662813</v>
      </c>
      <c r="J18" s="153">
        <f t="shared" si="3"/>
        <v>267.65903835191506</v>
      </c>
    </row>
    <row r="19" spans="1:10" x14ac:dyDescent="0.25">
      <c r="A19" s="146" t="s">
        <v>76</v>
      </c>
      <c r="B19" s="55">
        <v>2014</v>
      </c>
      <c r="C19" s="55">
        <f>+B19+1</f>
        <v>2015</v>
      </c>
      <c r="D19" s="81">
        <f>+C19+1</f>
        <v>2016</v>
      </c>
      <c r="E19" s="158"/>
      <c r="F19" s="158"/>
      <c r="G19" s="147" t="s">
        <v>81</v>
      </c>
      <c r="H19" s="152">
        <f t="shared" ref="H19:H20" si="4">+B32</f>
        <v>275.49818143178402</v>
      </c>
      <c r="I19" s="152">
        <f t="shared" si="3"/>
        <v>295.95608233585421</v>
      </c>
      <c r="J19" s="153">
        <f t="shared" si="3"/>
        <v>310.63596584374903</v>
      </c>
    </row>
    <row r="20" spans="1:10" x14ac:dyDescent="0.25">
      <c r="A20" s="147" t="s">
        <v>80</v>
      </c>
      <c r="B20" s="148">
        <f>+'Welfare Benefit Expenses 98-16'!R14*1000000/'Numbers on benefits'!C11</f>
        <v>13533.982020052863</v>
      </c>
      <c r="C20" s="148">
        <f>+'Welfare Benefit Expenses 98-16'!S14*1000000/'Numbers on benefits'!D11</f>
        <v>13953.999034655055</v>
      </c>
      <c r="D20" s="149">
        <f>+'Welfare Benefit Expenses 98-16'!T14*1000000/'Numbers on benefits'!E11</f>
        <v>13956.518470880072</v>
      </c>
      <c r="E20" s="40"/>
      <c r="F20" s="158"/>
      <c r="G20" s="147" t="s">
        <v>82</v>
      </c>
      <c r="H20" s="152">
        <f t="shared" si="4"/>
        <v>297.94914180382665</v>
      </c>
      <c r="I20" s="152">
        <f t="shared" si="3"/>
        <v>313.30120652286877</v>
      </c>
      <c r="J20" s="153">
        <f t="shared" si="3"/>
        <v>311.33987999026203</v>
      </c>
    </row>
    <row r="21" spans="1:10" x14ac:dyDescent="0.25">
      <c r="A21" s="147" t="s">
        <v>81</v>
      </c>
      <c r="B21" s="148">
        <f>+'Welfare Benefit Expenses 98-16'!R16*1000000/'Numbers on benefits'!B13</f>
        <v>14365.274124579371</v>
      </c>
      <c r="C21" s="148">
        <f>+'Welfare Benefit Expenses 98-16'!S16*1000000/'Numbers on benefits'!C13</f>
        <v>15432.008405630211</v>
      </c>
      <c r="D21" s="149">
        <f>+'Welfare Benefit Expenses 98-16'!T16*1000000/'Numbers on benefits'!D13</f>
        <v>16197.460103394022</v>
      </c>
      <c r="E21" s="158"/>
      <c r="F21" s="158"/>
      <c r="G21" s="154" t="s">
        <v>83</v>
      </c>
      <c r="H21" s="155">
        <f>+W9</f>
        <v>321.78696023912926</v>
      </c>
      <c r="I21" s="155">
        <f t="shared" ref="I21:J21" si="5">+X9</f>
        <v>329.6647901206918</v>
      </c>
      <c r="J21" s="156">
        <f t="shared" si="5"/>
        <v>336.85186266377059</v>
      </c>
    </row>
    <row r="22" spans="1:10" x14ac:dyDescent="0.25">
      <c r="A22" s="147" t="s">
        <v>82</v>
      </c>
      <c r="B22" s="148">
        <f>+'Welfare Benefit Expenses 98-16'!R17*1000000/'Numbers on benefits'!B14</f>
        <v>15535.932306162751</v>
      </c>
      <c r="C22" s="148">
        <f>+'Welfare Benefit Expenses 98-16'!S17*1000000/'Numbers on benefits'!C14</f>
        <v>16336.433481601294</v>
      </c>
      <c r="D22" s="149">
        <f>+'Welfare Benefit Expenses 98-16'!T17*1000000/'Numbers on benefits'!D14</f>
        <v>16234.164228344232</v>
      </c>
      <c r="E22" s="158"/>
      <c r="F22" s="158"/>
      <c r="G22" s="158"/>
      <c r="H22" s="158"/>
      <c r="I22" s="158"/>
      <c r="J22" s="158"/>
    </row>
    <row r="23" spans="1:10" x14ac:dyDescent="0.25">
      <c r="A23" s="147"/>
      <c r="B23" s="55"/>
      <c r="C23" s="55"/>
      <c r="D23" s="81"/>
      <c r="E23" s="158"/>
      <c r="F23" s="158"/>
      <c r="G23" s="158"/>
      <c r="H23" s="158"/>
      <c r="I23" s="158"/>
      <c r="J23" s="158"/>
    </row>
    <row r="24" spans="1:10" x14ac:dyDescent="0.25">
      <c r="A24" s="150" t="s">
        <v>59</v>
      </c>
      <c r="B24" s="55"/>
      <c r="C24" s="55"/>
      <c r="D24" s="81"/>
      <c r="E24" s="158"/>
      <c r="F24" s="158"/>
      <c r="G24" s="158"/>
      <c r="H24" s="158"/>
      <c r="I24" s="158"/>
      <c r="J24" s="158"/>
    </row>
    <row r="25" spans="1:10" x14ac:dyDescent="0.25">
      <c r="A25" s="147" t="s">
        <v>80</v>
      </c>
      <c r="B25" s="148">
        <f>+B20/Inflation!W$3</f>
        <v>13590.609559885719</v>
      </c>
      <c r="C25" s="148">
        <f>+C20/Inflation!X$3</f>
        <v>13953.999034655055</v>
      </c>
      <c r="D25" s="149">
        <f>+D20/Inflation!Y$3</f>
        <v>13898.607605855674</v>
      </c>
      <c r="E25" s="158"/>
      <c r="F25" s="158"/>
      <c r="G25" s="158"/>
      <c r="H25" s="158"/>
      <c r="I25" s="158"/>
      <c r="J25" s="158"/>
    </row>
    <row r="26" spans="1:10" x14ac:dyDescent="0.25">
      <c r="A26" s="147" t="s">
        <v>81</v>
      </c>
      <c r="B26" s="148">
        <f>+B21/Inflation!W$3</f>
        <v>14425.379874054599</v>
      </c>
      <c r="C26" s="148">
        <f>+C21/Inflation!X$3</f>
        <v>15432.008405630211</v>
      </c>
      <c r="D26" s="149">
        <f>+D21/Inflation!Y$3</f>
        <v>16130.250725371639</v>
      </c>
      <c r="E26" s="158"/>
      <c r="F26" s="158"/>
      <c r="G26" s="158"/>
      <c r="H26" s="158"/>
      <c r="I26" s="158"/>
      <c r="J26" s="158"/>
    </row>
    <row r="27" spans="1:10" x14ac:dyDescent="0.25">
      <c r="A27" s="147" t="s">
        <v>82</v>
      </c>
      <c r="B27" s="148">
        <f>+B22/Inflation!W$3</f>
        <v>15600.936207025357</v>
      </c>
      <c r="C27" s="148">
        <f>+C22/Inflation!X$3</f>
        <v>16336.433481601294</v>
      </c>
      <c r="D27" s="149">
        <f>+D22/Inflation!Y$3</f>
        <v>16166.802551048198</v>
      </c>
      <c r="E27" s="158"/>
      <c r="F27" s="158"/>
      <c r="G27" s="158"/>
      <c r="H27" s="158"/>
      <c r="I27" s="158"/>
      <c r="J27" s="158"/>
    </row>
    <row r="28" spans="1:10" x14ac:dyDescent="0.25">
      <c r="A28" s="147"/>
      <c r="B28" s="55"/>
      <c r="C28" s="55"/>
      <c r="D28" s="81"/>
      <c r="E28" s="158"/>
      <c r="F28" s="158"/>
      <c r="G28" s="158"/>
      <c r="H28" s="158"/>
      <c r="I28" s="158"/>
      <c r="J28" s="158"/>
    </row>
    <row r="29" spans="1:10" x14ac:dyDescent="0.25">
      <c r="A29" s="150" t="s">
        <v>52</v>
      </c>
      <c r="B29" s="55"/>
      <c r="C29" s="55"/>
      <c r="D29" s="81"/>
      <c r="E29" s="158"/>
      <c r="F29" s="158"/>
      <c r="G29" s="158"/>
      <c r="H29" s="158"/>
      <c r="I29" s="158"/>
      <c r="J29" s="158"/>
    </row>
    <row r="30" spans="1:10" x14ac:dyDescent="0.25">
      <c r="A30" s="146" t="s">
        <v>76</v>
      </c>
      <c r="B30" s="55"/>
      <c r="C30" s="55"/>
      <c r="D30" s="81"/>
      <c r="E30" s="158"/>
      <c r="F30" s="158"/>
      <c r="G30" s="158"/>
      <c r="H30" s="158"/>
      <c r="I30" s="158"/>
      <c r="J30" s="158"/>
    </row>
    <row r="31" spans="1:10" x14ac:dyDescent="0.25">
      <c r="A31" s="147" t="s">
        <v>80</v>
      </c>
      <c r="B31" s="55">
        <f>+B20/52.1429</f>
        <v>259.55560622928266</v>
      </c>
      <c r="C31" s="55">
        <f>+C20/52.1429</f>
        <v>267.61072043662813</v>
      </c>
      <c r="D31" s="81">
        <f>+D20/52.1429</f>
        <v>267.65903835191506</v>
      </c>
      <c r="E31" s="158"/>
      <c r="F31" s="158"/>
      <c r="G31" s="158"/>
      <c r="H31" s="158"/>
      <c r="I31" s="158"/>
      <c r="J31" s="158"/>
    </row>
    <row r="32" spans="1:10" x14ac:dyDescent="0.25">
      <c r="A32" s="147" t="s">
        <v>81</v>
      </c>
      <c r="B32" s="55">
        <f t="shared" ref="B32:D32" si="6">+B21/52.1429</f>
        <v>275.49818143178402</v>
      </c>
      <c r="C32" s="55">
        <f t="shared" si="6"/>
        <v>295.95608233585421</v>
      </c>
      <c r="D32" s="81">
        <f t="shared" si="6"/>
        <v>310.63596584374903</v>
      </c>
      <c r="E32" s="158"/>
      <c r="F32" s="158"/>
      <c r="G32" s="158"/>
      <c r="H32" s="158"/>
      <c r="I32" s="158"/>
      <c r="J32" s="158"/>
    </row>
    <row r="33" spans="1:19" x14ac:dyDescent="0.25">
      <c r="A33" s="147" t="s">
        <v>82</v>
      </c>
      <c r="B33" s="55">
        <f t="shared" ref="B33:D33" si="7">+B22/52.1429</f>
        <v>297.94914180382665</v>
      </c>
      <c r="C33" s="55">
        <f t="shared" si="7"/>
        <v>313.30120652286877</v>
      </c>
      <c r="D33" s="81">
        <f t="shared" si="7"/>
        <v>311.33987999026203</v>
      </c>
      <c r="E33" s="158"/>
      <c r="F33" s="158"/>
      <c r="G33" s="158"/>
      <c r="H33" s="158"/>
      <c r="I33" s="158"/>
      <c r="J33" s="158"/>
      <c r="K33" s="158"/>
      <c r="L33" s="158"/>
      <c r="M33" s="158"/>
      <c r="N33" s="158"/>
      <c r="O33" s="158"/>
      <c r="P33" s="158"/>
      <c r="Q33" s="158"/>
      <c r="R33" s="158"/>
      <c r="S33" s="158"/>
    </row>
    <row r="34" spans="1:19" x14ac:dyDescent="0.25">
      <c r="A34" s="80"/>
      <c r="B34" s="55"/>
      <c r="C34" s="55"/>
      <c r="D34" s="81"/>
      <c r="E34" s="158"/>
      <c r="F34" s="158"/>
      <c r="G34" s="158"/>
      <c r="H34" s="158"/>
      <c r="I34" s="158"/>
      <c r="J34" s="158"/>
      <c r="K34" s="158"/>
      <c r="L34" s="158"/>
      <c r="M34" s="158"/>
      <c r="N34" s="158"/>
      <c r="O34" s="158"/>
      <c r="P34" s="158"/>
      <c r="Q34" s="158"/>
      <c r="R34" s="158"/>
      <c r="S34" s="158"/>
    </row>
    <row r="35" spans="1:19" x14ac:dyDescent="0.25">
      <c r="A35" s="150" t="s">
        <v>59</v>
      </c>
      <c r="B35" s="55"/>
      <c r="C35" s="55"/>
      <c r="D35" s="81"/>
      <c r="E35" s="158"/>
      <c r="F35" s="158"/>
      <c r="G35" s="158"/>
      <c r="H35" s="158"/>
      <c r="I35" s="158"/>
      <c r="J35" s="158"/>
      <c r="K35" s="158"/>
      <c r="L35" s="158"/>
      <c r="M35" s="158"/>
      <c r="N35" s="158"/>
      <c r="O35" s="158"/>
      <c r="P35" s="158"/>
      <c r="Q35" s="158"/>
      <c r="R35" s="158"/>
      <c r="S35" s="158"/>
    </row>
    <row r="36" spans="1:19" x14ac:dyDescent="0.25">
      <c r="A36" s="147" t="s">
        <v>80</v>
      </c>
      <c r="B36" s="55">
        <f t="shared" ref="B36:D36" si="8">+B25/52.1429</f>
        <v>260.64161294990726</v>
      </c>
      <c r="C36" s="55">
        <f t="shared" si="8"/>
        <v>267.61072043662813</v>
      </c>
      <c r="D36" s="81">
        <f t="shared" si="8"/>
        <v>266.54841993551707</v>
      </c>
      <c r="E36" s="158"/>
      <c r="F36" s="158"/>
      <c r="G36" s="158"/>
      <c r="H36" s="158"/>
      <c r="I36" s="158"/>
      <c r="J36" s="158"/>
      <c r="K36" s="158"/>
      <c r="L36" s="158"/>
      <c r="M36" s="158"/>
      <c r="N36" s="158"/>
      <c r="O36" s="158"/>
      <c r="P36" s="158"/>
      <c r="Q36" s="158"/>
      <c r="R36" s="158"/>
      <c r="S36" s="158"/>
    </row>
    <row r="37" spans="1:19" x14ac:dyDescent="0.25">
      <c r="A37" s="147" t="s">
        <v>81</v>
      </c>
      <c r="B37" s="55">
        <f t="shared" ref="B37:D37" si="9">+B26/52.1429</f>
        <v>276.65089348798398</v>
      </c>
      <c r="C37" s="55">
        <f t="shared" si="9"/>
        <v>295.95608233585421</v>
      </c>
      <c r="D37" s="81">
        <f t="shared" si="9"/>
        <v>309.34701992738496</v>
      </c>
      <c r="E37" s="158"/>
      <c r="F37" s="158"/>
      <c r="G37" s="158"/>
      <c r="H37" s="158"/>
      <c r="I37" s="158"/>
      <c r="J37" s="158"/>
      <c r="K37" s="158"/>
      <c r="L37" s="158"/>
      <c r="M37" s="158"/>
      <c r="N37" s="158"/>
      <c r="O37" s="158"/>
      <c r="P37" s="158"/>
      <c r="Q37" s="158"/>
      <c r="R37" s="158"/>
      <c r="S37" s="158"/>
    </row>
    <row r="38" spans="1:19" x14ac:dyDescent="0.25">
      <c r="A38" s="151" t="s">
        <v>82</v>
      </c>
      <c r="B38" s="18">
        <f t="shared" ref="B38:D38" si="10">+B27/52.1429</f>
        <v>299.19579093271295</v>
      </c>
      <c r="C38" s="18">
        <f t="shared" si="10"/>
        <v>313.30120652286877</v>
      </c>
      <c r="D38" s="82">
        <f t="shared" si="10"/>
        <v>310.04801326831074</v>
      </c>
      <c r="E38" s="158"/>
      <c r="F38" s="158"/>
      <c r="G38" s="158"/>
      <c r="H38" s="158"/>
      <c r="I38" s="158"/>
      <c r="J38" s="158"/>
      <c r="K38" s="158"/>
      <c r="L38" s="158"/>
      <c r="M38" s="158"/>
      <c r="N38" s="158"/>
      <c r="O38" s="158"/>
      <c r="P38" s="158"/>
      <c r="Q38" s="158"/>
      <c r="R38" s="158"/>
      <c r="S38" s="158"/>
    </row>
    <row r="41" spans="1:19" x14ac:dyDescent="0.25">
      <c r="A41" s="158" t="s">
        <v>28</v>
      </c>
      <c r="B41" s="115">
        <v>36312</v>
      </c>
      <c r="C41" s="115">
        <v>36678</v>
      </c>
      <c r="D41" s="115">
        <v>37043</v>
      </c>
      <c r="E41" s="115">
        <v>37408</v>
      </c>
      <c r="F41" s="115">
        <v>37773</v>
      </c>
      <c r="G41" s="115">
        <v>38139</v>
      </c>
      <c r="H41" s="115">
        <v>38504</v>
      </c>
      <c r="I41" s="115">
        <v>38869</v>
      </c>
      <c r="J41" s="115">
        <v>39234</v>
      </c>
      <c r="K41" s="115">
        <v>39600</v>
      </c>
      <c r="L41" s="115">
        <v>39965</v>
      </c>
      <c r="M41" s="115">
        <v>40330</v>
      </c>
      <c r="N41" s="115">
        <v>40695</v>
      </c>
      <c r="O41" s="115">
        <v>41061</v>
      </c>
      <c r="P41" s="115">
        <v>41426</v>
      </c>
      <c r="Q41" s="115">
        <v>41791</v>
      </c>
      <c r="R41" s="115">
        <v>42156</v>
      </c>
      <c r="S41" s="115">
        <v>42522</v>
      </c>
    </row>
    <row r="42" spans="1:19" x14ac:dyDescent="0.25">
      <c r="A42" s="158" t="s">
        <v>84</v>
      </c>
      <c r="B42" s="158">
        <f>+'Aggregated expenditure (Core)'!H8*1000000/'Education numbers'!C$38</f>
        <v>6142.257985247752</v>
      </c>
      <c r="C42" s="158">
        <f>+'Aggregated expenditure (Core)'!I8*1000000/'Education numbers'!D$38</f>
        <v>6489.7398344550675</v>
      </c>
      <c r="D42" s="158">
        <f>+'Aggregated expenditure (Core)'!J8*1000000/'Education numbers'!E$38</f>
        <v>6211.2052734509443</v>
      </c>
      <c r="E42" s="158">
        <f>+'Aggregated expenditure (Core)'!K8*1000000/'Education numbers'!F$38</f>
        <v>6253.2483466036547</v>
      </c>
      <c r="F42" s="158">
        <f>+'Aggregated expenditure (Core)'!L8*1000000/'Education numbers'!G$38</f>
        <v>6445.8693057736282</v>
      </c>
      <c r="G42" s="158">
        <f>+'Aggregated expenditure (Core)'!M8*1000000/'Education numbers'!H$38</f>
        <v>6815.7536012968349</v>
      </c>
      <c r="H42" s="158">
        <f>+'Aggregated expenditure (Core)'!N8*1000000/'Education numbers'!I$38</f>
        <v>7050.9383616393388</v>
      </c>
      <c r="I42" s="158">
        <f>+'Aggregated expenditure (Core)'!O8*1000000/'Education numbers'!J$38</f>
        <v>8895.0458165739983</v>
      </c>
      <c r="J42" s="158">
        <f>+'Aggregated expenditure (Core)'!P8*1000000/'Education numbers'!K$38</f>
        <v>8342.5738581951464</v>
      </c>
      <c r="K42" s="158">
        <f>+'Aggregated expenditure (Core)'!Q8*1000000/'Education numbers'!L$38</f>
        <v>8769.1109878769403</v>
      </c>
      <c r="L42" s="158">
        <f>+'Aggregated expenditure (Core)'!R8*1000000/'Education numbers'!M$38</f>
        <v>10452.557888282185</v>
      </c>
      <c r="M42" s="158">
        <f>+'Aggregated expenditure (Core)'!S8*1000000/'Education numbers'!N$38</f>
        <v>10685.575748737672</v>
      </c>
      <c r="N42" s="158">
        <f>+'Aggregated expenditure (Core)'!T8*1000000/'Education numbers'!O$38</f>
        <v>10987.249132337407</v>
      </c>
      <c r="O42" s="158">
        <f>+'Aggregated expenditure (Core)'!U8*1000000/'Education numbers'!P$38</f>
        <v>11061.690709280847</v>
      </c>
      <c r="P42" s="158">
        <f>+'Aggregated expenditure (Core)'!V8*1000000/'Education numbers'!Q$38</f>
        <v>11946.27615158701</v>
      </c>
      <c r="Q42" s="158">
        <f>+'Aggregated expenditure (Core)'!W8*1000000/'Education numbers'!R$38</f>
        <v>11745.427877343356</v>
      </c>
      <c r="R42" s="158">
        <f>+'Aggregated expenditure (Core)'!X8*1000000/'Education numbers'!S$38</f>
        <v>12211.159477041143</v>
      </c>
      <c r="S42" s="158">
        <f>+'Aggregated expenditure (Core)'!Y8*1000000/'Education numbers'!T$38</f>
        <v>12475.691932518625</v>
      </c>
    </row>
    <row r="43" spans="1:19" x14ac:dyDescent="0.25">
      <c r="A43" s="158" t="s">
        <v>85</v>
      </c>
      <c r="B43" s="158">
        <f>+B42/Inflation!H3</f>
        <v>8859.5929222625582</v>
      </c>
      <c r="C43" s="158">
        <f>+C42/Inflation!I3</f>
        <v>9177.2556194870849</v>
      </c>
      <c r="D43" s="158">
        <f>+D42/Inflation!J3</f>
        <v>8508.1125270360626</v>
      </c>
      <c r="E43" s="158">
        <f>+E42/Inflation!K3</f>
        <v>8336.1233074482025</v>
      </c>
      <c r="F43" s="158">
        <f>+F42/Inflation!L3</f>
        <v>8467.6884254115521</v>
      </c>
      <c r="G43" s="158">
        <f>+G42/Inflation!M3</f>
        <v>8746.4795332141657</v>
      </c>
      <c r="H43" s="158">
        <f>+H42/Inflation!N3</f>
        <v>8795.3493076582199</v>
      </c>
      <c r="I43" s="158">
        <f>+I42/Inflation!O3</f>
        <v>10674.054979888797</v>
      </c>
      <c r="J43" s="158">
        <f>+J42/Inflation!P3</f>
        <v>9814.7927743472319</v>
      </c>
      <c r="K43" s="158">
        <f>+K42/Inflation!Q3</f>
        <v>9917.938911830659</v>
      </c>
      <c r="L43" s="158">
        <f>+L42/Inflation!R3</f>
        <v>11603.209496705478</v>
      </c>
      <c r="M43" s="158">
        <f>+M42/Inflation!S3</f>
        <v>11667.598633744501</v>
      </c>
      <c r="N43" s="158">
        <f>+N42/Inflation!T3</f>
        <v>11395.591148491692</v>
      </c>
      <c r="O43" s="158">
        <f>+O42/Inflation!U3</f>
        <v>11364.750728713198</v>
      </c>
      <c r="P43" s="158">
        <f>+P42/Inflation!V3</f>
        <v>12190.077705701031</v>
      </c>
      <c r="Q43" s="158">
        <f>+Q42/Inflation!W3</f>
        <v>11794.571927039353</v>
      </c>
      <c r="R43" s="158">
        <f>+R42/Inflation!X3</f>
        <v>12211.159477041143</v>
      </c>
      <c r="S43" s="158">
        <f>+S42/Inflation!Y3</f>
        <v>12423.925575952157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R7"/>
  <sheetViews>
    <sheetView workbookViewId="0">
      <selection activeCell="B1" sqref="B1"/>
    </sheetView>
  </sheetViews>
  <sheetFormatPr defaultRowHeight="15" x14ac:dyDescent="0.25"/>
  <sheetData>
    <row r="1" spans="1:18" x14ac:dyDescent="0.25">
      <c r="A1" s="158" t="s">
        <v>86</v>
      </c>
      <c r="B1" s="158"/>
      <c r="C1" s="158"/>
      <c r="D1" s="158"/>
      <c r="E1" s="158"/>
      <c r="F1" s="158"/>
      <c r="G1" s="158"/>
      <c r="H1" s="158"/>
      <c r="I1" s="158"/>
      <c r="J1" s="158"/>
      <c r="K1" s="158"/>
      <c r="L1" s="158"/>
      <c r="M1" s="158"/>
      <c r="N1" s="158"/>
      <c r="O1" s="158"/>
      <c r="P1" s="158"/>
      <c r="Q1" s="158"/>
      <c r="R1" s="158"/>
    </row>
    <row r="2" spans="1:18" x14ac:dyDescent="0.25">
      <c r="A2" s="158"/>
      <c r="B2" s="158">
        <v>1999</v>
      </c>
      <c r="C2" s="158">
        <v>2000</v>
      </c>
      <c r="D2" s="158">
        <v>2001</v>
      </c>
      <c r="E2" s="158">
        <v>2002</v>
      </c>
      <c r="F2" s="158">
        <v>2003</v>
      </c>
      <c r="G2" s="158">
        <v>2004</v>
      </c>
      <c r="H2" s="158">
        <v>2005</v>
      </c>
      <c r="I2" s="158">
        <v>2006</v>
      </c>
      <c r="J2" s="158">
        <v>2007</v>
      </c>
      <c r="K2" s="158">
        <v>2008</v>
      </c>
      <c r="L2" s="158">
        <v>2009</v>
      </c>
      <c r="M2" s="158">
        <v>2010</v>
      </c>
      <c r="N2" s="158">
        <v>2011</v>
      </c>
      <c r="O2" s="158">
        <v>2012</v>
      </c>
      <c r="P2" s="158">
        <v>2013</v>
      </c>
      <c r="Q2" s="158">
        <v>2014</v>
      </c>
      <c r="R2" s="158">
        <v>2015</v>
      </c>
    </row>
    <row r="3" spans="1:18" x14ac:dyDescent="0.25">
      <c r="A3" s="158" t="s">
        <v>87</v>
      </c>
      <c r="B3" s="158">
        <v>32156</v>
      </c>
      <c r="C3" s="158">
        <v>34035</v>
      </c>
      <c r="D3" s="158">
        <v>36736</v>
      </c>
      <c r="E3" s="158">
        <v>36215</v>
      </c>
      <c r="F3" s="158">
        <v>39785</v>
      </c>
      <c r="G3" s="158">
        <v>42532</v>
      </c>
      <c r="H3" s="158">
        <v>46624</v>
      </c>
      <c r="I3" s="158">
        <v>52311</v>
      </c>
      <c r="J3" s="158">
        <v>52938</v>
      </c>
      <c r="K3" s="158">
        <v>56372</v>
      </c>
      <c r="L3" s="158">
        <v>54145</v>
      </c>
      <c r="M3" s="158">
        <v>50347</v>
      </c>
      <c r="N3" s="158">
        <v>51128</v>
      </c>
      <c r="O3" s="158">
        <v>54665</v>
      </c>
      <c r="P3" s="158">
        <v>58134</v>
      </c>
      <c r="Q3" s="158">
        <v>60879</v>
      </c>
      <c r="R3" s="158">
        <v>66055</v>
      </c>
    </row>
    <row r="4" spans="1:18" x14ac:dyDescent="0.25">
      <c r="A4" s="158" t="s">
        <v>88</v>
      </c>
      <c r="B4" s="114">
        <f t="shared" ref="B4:R4" si="0">+B5-B3</f>
        <v>7809.5714285714275</v>
      </c>
      <c r="C4" s="114">
        <f t="shared" si="0"/>
        <v>7576.5263157894733</v>
      </c>
      <c r="D4" s="114">
        <f t="shared" si="0"/>
        <v>8364.5488721804504</v>
      </c>
      <c r="E4" s="114">
        <f t="shared" si="0"/>
        <v>13732.660744360903</v>
      </c>
      <c r="F4" s="114">
        <f t="shared" si="0"/>
        <v>16825.514706766917</v>
      </c>
      <c r="G4" s="114">
        <f t="shared" si="0"/>
        <v>16738.882706766919</v>
      </c>
      <c r="H4" s="114">
        <f t="shared" si="0"/>
        <v>18507</v>
      </c>
      <c r="I4" s="114">
        <f t="shared" si="0"/>
        <v>18878</v>
      </c>
      <c r="J4" s="158">
        <f t="shared" si="0"/>
        <v>21411</v>
      </c>
      <c r="K4" s="158">
        <f t="shared" si="0"/>
        <v>24863</v>
      </c>
      <c r="L4" s="158">
        <f t="shared" si="0"/>
        <v>25070</v>
      </c>
      <c r="M4" s="158">
        <f t="shared" si="0"/>
        <v>23919</v>
      </c>
      <c r="N4" s="158">
        <f t="shared" si="0"/>
        <v>30084</v>
      </c>
      <c r="O4" s="158">
        <f t="shared" si="0"/>
        <v>28681</v>
      </c>
      <c r="P4" s="158">
        <f t="shared" si="0"/>
        <v>28177</v>
      </c>
      <c r="Q4" s="158">
        <f t="shared" si="0"/>
        <v>28320</v>
      </c>
      <c r="R4" s="158">
        <f t="shared" si="0"/>
        <v>28958</v>
      </c>
    </row>
    <row r="5" spans="1:18" x14ac:dyDescent="0.25">
      <c r="A5" s="158" t="s">
        <v>89</v>
      </c>
      <c r="B5" s="114">
        <v>39965.571428571428</v>
      </c>
      <c r="C5" s="114">
        <v>41611.526315789473</v>
      </c>
      <c r="D5" s="114">
        <v>45100.54887218045</v>
      </c>
      <c r="E5" s="114">
        <v>49947.660744360903</v>
      </c>
      <c r="F5" s="114">
        <v>56610.514706766917</v>
      </c>
      <c r="G5" s="114">
        <v>59270.882706766919</v>
      </c>
      <c r="H5" s="114">
        <v>65131</v>
      </c>
      <c r="I5" s="114">
        <v>71189</v>
      </c>
      <c r="J5" s="158">
        <v>74349</v>
      </c>
      <c r="K5" s="158">
        <v>81235</v>
      </c>
      <c r="L5" s="158">
        <v>79215</v>
      </c>
      <c r="M5" s="158">
        <v>74266</v>
      </c>
      <c r="N5" s="158">
        <v>81212</v>
      </c>
      <c r="O5" s="158">
        <v>83346</v>
      </c>
      <c r="P5" s="158">
        <v>86311</v>
      </c>
      <c r="Q5" s="158">
        <v>89199</v>
      </c>
      <c r="R5" s="158">
        <v>95013</v>
      </c>
    </row>
    <row r="6" spans="1:18" x14ac:dyDescent="0.25">
      <c r="A6" s="158" t="s">
        <v>90</v>
      </c>
      <c r="B6" s="158">
        <v>39837.571428571428</v>
      </c>
      <c r="C6" s="158">
        <v>41017.946315789472</v>
      </c>
      <c r="D6" s="158">
        <v>43679.018872180452</v>
      </c>
      <c r="E6" s="158">
        <v>47476.445504360898</v>
      </c>
      <c r="F6" s="158">
        <v>52244.611716766907</v>
      </c>
      <c r="G6" s="158">
        <v>53697.765056766912</v>
      </c>
      <c r="H6" s="158">
        <v>58057</v>
      </c>
      <c r="I6" s="158">
        <v>64098</v>
      </c>
      <c r="J6" s="158">
        <v>68489</v>
      </c>
      <c r="K6" s="158">
        <v>75598</v>
      </c>
      <c r="L6" s="158">
        <v>83108</v>
      </c>
      <c r="M6" s="158">
        <v>80581</v>
      </c>
      <c r="N6" s="158">
        <v>99608</v>
      </c>
      <c r="O6" s="158">
        <v>92586</v>
      </c>
      <c r="P6" s="158">
        <v>90663</v>
      </c>
      <c r="Q6" s="158">
        <v>91842</v>
      </c>
      <c r="R6" s="158">
        <v>94272</v>
      </c>
    </row>
    <row r="7" spans="1:18" x14ac:dyDescent="0.25">
      <c r="A7" s="158" t="s">
        <v>91</v>
      </c>
      <c r="B7" s="114">
        <f>+B5-B6</f>
        <v>128</v>
      </c>
      <c r="C7" s="114">
        <f t="shared" ref="C7:O7" si="1">+C5-C6</f>
        <v>593.58000000000175</v>
      </c>
      <c r="D7" s="114">
        <f t="shared" si="1"/>
        <v>1421.5299999999988</v>
      </c>
      <c r="E7" s="114">
        <f t="shared" si="1"/>
        <v>2471.215240000005</v>
      </c>
      <c r="F7" s="114">
        <f t="shared" si="1"/>
        <v>4365.9029900000096</v>
      </c>
      <c r="G7" s="114">
        <f t="shared" si="1"/>
        <v>5573.1176500000074</v>
      </c>
      <c r="H7" s="114">
        <f t="shared" si="1"/>
        <v>7074</v>
      </c>
      <c r="I7" s="114">
        <f t="shared" si="1"/>
        <v>7091</v>
      </c>
      <c r="J7" s="114">
        <f t="shared" si="1"/>
        <v>5860</v>
      </c>
      <c r="K7" s="114">
        <f t="shared" si="1"/>
        <v>5637</v>
      </c>
      <c r="L7" s="114">
        <f t="shared" si="1"/>
        <v>-3893</v>
      </c>
      <c r="M7" s="114">
        <f t="shared" si="1"/>
        <v>-6315</v>
      </c>
      <c r="N7" s="114">
        <f t="shared" si="1"/>
        <v>-18396</v>
      </c>
      <c r="O7" s="114">
        <f t="shared" si="1"/>
        <v>-9240</v>
      </c>
      <c r="P7" s="114">
        <v>-4414.0000000000045</v>
      </c>
      <c r="Q7" s="114">
        <v>-2933.0000000000291</v>
      </c>
      <c r="R7" s="114">
        <v>414.00000000001387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Y45"/>
  <sheetViews>
    <sheetView topLeftCell="A4" workbookViewId="0">
      <selection activeCell="A36" sqref="A36"/>
    </sheetView>
  </sheetViews>
  <sheetFormatPr defaultColWidth="9.140625" defaultRowHeight="15" x14ac:dyDescent="0.25"/>
  <cols>
    <col min="1" max="1" width="42.28515625" style="86" customWidth="1"/>
    <col min="2" max="5" width="9.140625" style="86"/>
    <col min="6" max="8" width="10.5703125" style="86" customWidth="1"/>
    <col min="9" max="10" width="10.7109375" style="86" customWidth="1"/>
    <col min="11" max="22" width="10.5703125" style="86" customWidth="1"/>
    <col min="23" max="23" width="10.7109375" style="86" customWidth="1"/>
    <col min="24" max="24" width="10.5703125" style="86" customWidth="1"/>
    <col min="25" max="16384" width="9.140625" style="86"/>
  </cols>
  <sheetData>
    <row r="1" spans="1:25" x14ac:dyDescent="0.25">
      <c r="A1" s="86" t="s">
        <v>50</v>
      </c>
      <c r="B1" s="87"/>
      <c r="C1" s="87"/>
      <c r="D1" s="87"/>
      <c r="E1" s="87"/>
      <c r="F1" s="87"/>
      <c r="G1" s="87"/>
      <c r="H1" s="87"/>
      <c r="I1" s="87"/>
      <c r="J1" s="87"/>
      <c r="K1" s="87"/>
      <c r="L1" s="87"/>
      <c r="M1" s="87"/>
      <c r="N1" s="87"/>
      <c r="O1" s="87"/>
      <c r="P1" s="87"/>
      <c r="Q1" s="87"/>
      <c r="R1" s="87"/>
      <c r="S1" s="87"/>
      <c r="T1" s="87"/>
      <c r="U1" s="87"/>
      <c r="V1" s="87"/>
      <c r="W1" s="87"/>
      <c r="X1" s="87"/>
      <c r="Y1" s="87"/>
    </row>
    <row r="2" spans="1:25" s="91" customFormat="1" x14ac:dyDescent="0.25">
      <c r="A2" s="189" t="s">
        <v>86</v>
      </c>
      <c r="B2" s="88">
        <v>36312</v>
      </c>
      <c r="C2" s="89">
        <v>36678</v>
      </c>
      <c r="D2" s="89">
        <v>37043</v>
      </c>
      <c r="E2" s="89">
        <v>37408</v>
      </c>
      <c r="F2" s="89">
        <v>37773</v>
      </c>
      <c r="G2" s="89">
        <v>38139</v>
      </c>
      <c r="H2" s="89">
        <v>38504</v>
      </c>
      <c r="I2" s="89">
        <v>38869</v>
      </c>
      <c r="J2" s="89">
        <v>39234</v>
      </c>
      <c r="K2" s="89">
        <v>39600</v>
      </c>
      <c r="L2" s="89">
        <v>39965</v>
      </c>
      <c r="M2" s="89">
        <v>40330</v>
      </c>
      <c r="N2" s="89">
        <v>40695</v>
      </c>
      <c r="O2" s="89">
        <v>41061</v>
      </c>
      <c r="P2" s="89">
        <v>41426</v>
      </c>
      <c r="Q2" s="89">
        <v>41791</v>
      </c>
      <c r="R2" s="89">
        <v>42156</v>
      </c>
      <c r="S2" s="89">
        <v>42522</v>
      </c>
      <c r="T2" s="89"/>
      <c r="U2" s="89"/>
      <c r="V2" s="89"/>
      <c r="W2" s="89"/>
      <c r="X2" s="89"/>
      <c r="Y2" s="89"/>
    </row>
    <row r="3" spans="1:25" x14ac:dyDescent="0.25">
      <c r="A3" s="190"/>
      <c r="B3" s="92" t="s">
        <v>24</v>
      </c>
      <c r="C3" s="93" t="s">
        <v>24</v>
      </c>
      <c r="D3" s="93" t="s">
        <v>24</v>
      </c>
      <c r="E3" s="93" t="s">
        <v>24</v>
      </c>
      <c r="F3" s="93" t="s">
        <v>24</v>
      </c>
      <c r="G3" s="93" t="s">
        <v>24</v>
      </c>
      <c r="H3" s="93" t="s">
        <v>24</v>
      </c>
      <c r="I3" s="93" t="s">
        <v>24</v>
      </c>
      <c r="J3" s="93" t="s">
        <v>24</v>
      </c>
      <c r="K3" s="93" t="s">
        <v>24</v>
      </c>
      <c r="L3" s="93" t="s">
        <v>24</v>
      </c>
      <c r="M3" s="93" t="s">
        <v>24</v>
      </c>
      <c r="N3" s="93" t="s">
        <v>24</v>
      </c>
      <c r="O3" s="93" t="s">
        <v>24</v>
      </c>
      <c r="P3" s="93" t="s">
        <v>24</v>
      </c>
      <c r="Q3" s="94" t="s">
        <v>24</v>
      </c>
      <c r="R3" s="94" t="s">
        <v>24</v>
      </c>
      <c r="S3" s="94" t="s">
        <v>24</v>
      </c>
      <c r="T3" s="94"/>
      <c r="U3" s="94"/>
      <c r="V3" s="94"/>
      <c r="W3" s="93"/>
      <c r="X3" s="93"/>
      <c r="Y3" s="93"/>
    </row>
    <row r="4" spans="1:25" x14ac:dyDescent="0.25">
      <c r="A4" s="190"/>
      <c r="B4" s="92" t="s">
        <v>51</v>
      </c>
      <c r="C4" s="92" t="s">
        <v>51</v>
      </c>
      <c r="D4" s="92" t="s">
        <v>51</v>
      </c>
      <c r="E4" s="92" t="s">
        <v>51</v>
      </c>
      <c r="F4" s="92" t="s">
        <v>51</v>
      </c>
      <c r="G4" s="92" t="s">
        <v>51</v>
      </c>
      <c r="H4" s="92" t="s">
        <v>51</v>
      </c>
      <c r="I4" s="92" t="s">
        <v>51</v>
      </c>
      <c r="J4" s="92" t="s">
        <v>51</v>
      </c>
      <c r="K4" s="92" t="s">
        <v>51</v>
      </c>
      <c r="L4" s="92" t="s">
        <v>51</v>
      </c>
      <c r="M4" s="92" t="s">
        <v>51</v>
      </c>
      <c r="N4" s="92" t="s">
        <v>51</v>
      </c>
      <c r="O4" s="92" t="s">
        <v>51</v>
      </c>
      <c r="P4" s="92" t="s">
        <v>51</v>
      </c>
      <c r="Q4" s="92" t="s">
        <v>51</v>
      </c>
      <c r="R4" s="92" t="s">
        <v>51</v>
      </c>
      <c r="S4" s="92" t="s">
        <v>51</v>
      </c>
      <c r="T4" s="92"/>
      <c r="U4" s="92"/>
      <c r="V4" s="92"/>
      <c r="W4" s="92"/>
      <c r="X4" s="92"/>
      <c r="Y4" s="92"/>
    </row>
    <row r="5" spans="1:25" s="98" customFormat="1" ht="15.75" customHeight="1" x14ac:dyDescent="0.25">
      <c r="A5" s="95"/>
      <c r="B5" s="96"/>
      <c r="C5" s="97"/>
      <c r="D5" s="97"/>
      <c r="E5" s="97"/>
      <c r="F5" s="97"/>
      <c r="G5" s="97"/>
      <c r="H5" s="97"/>
      <c r="I5" s="97"/>
      <c r="J5" s="97"/>
      <c r="K5" s="97"/>
      <c r="L5" s="97"/>
      <c r="M5" s="97"/>
      <c r="N5" s="97"/>
      <c r="O5" s="97"/>
      <c r="P5" s="97"/>
      <c r="Q5" s="97"/>
      <c r="R5" s="97"/>
      <c r="S5" s="97"/>
      <c r="T5" s="97"/>
      <c r="U5" s="97"/>
      <c r="V5" s="97"/>
      <c r="W5" s="97"/>
      <c r="X5" s="97"/>
      <c r="Y5" s="97"/>
    </row>
    <row r="6" spans="1:25" s="101" customFormat="1" x14ac:dyDescent="0.25">
      <c r="A6" s="99" t="str">
        <f>+'Total crown'!A3</f>
        <v>Tax revenue</v>
      </c>
      <c r="B6" s="100">
        <f>IFERROR('Total crown'!B3*1000000/Population!J$2,0)</f>
        <v>8384.6575056712991</v>
      </c>
      <c r="C6" s="100">
        <f>IFERROR('Total crown'!C3*1000000/Population!K$2,0)</f>
        <v>8822.6145112372651</v>
      </c>
      <c r="D6" s="100">
        <f>IFERROR('Total crown'!D3*1000000/Population!L$2,0)</f>
        <v>9466.8212859167634</v>
      </c>
      <c r="E6" s="100">
        <f>IFERROR('Total crown'!E3*1000000/Population!M$2,0)</f>
        <v>9171.837406610106</v>
      </c>
      <c r="F6" s="100">
        <f>IFERROR('Total crown'!F3*1000000/Population!N$2,0)</f>
        <v>9879.0723083035355</v>
      </c>
      <c r="G6" s="100">
        <f>IFERROR('Total crown'!G3*1000000/Population!O$2,0)</f>
        <v>10405.382262996942</v>
      </c>
      <c r="H6" s="100">
        <f>IFERROR('Total crown'!H3*1000000/Population!P$2,0)</f>
        <v>11278.453760371562</v>
      </c>
      <c r="I6" s="100">
        <f>IFERROR('Total crown'!I3*1000000/Population!Q$2,0)</f>
        <v>12500.746780479994</v>
      </c>
      <c r="J6" s="100">
        <f>IFERROR('Total crown'!J3*1000000/Population!R$2,0)</f>
        <v>12533.085850383299</v>
      </c>
      <c r="K6" s="100">
        <f>IFERROR('Total crown'!K3*1000000/Population!S$2,0)</f>
        <v>13233.640471858676</v>
      </c>
      <c r="L6" s="100">
        <f>IFERROR('Total crown'!L3*1000000/Population!T$2,0)</f>
        <v>12584.280630968789</v>
      </c>
      <c r="M6" s="100">
        <f>IFERROR('Total crown'!M3*1000000/Population!U$2,0)</f>
        <v>11572.240597425223</v>
      </c>
      <c r="N6" s="100">
        <f>IFERROR('Total crown'!N3*1000000/Population!V$2,0)</f>
        <v>11662.488566299495</v>
      </c>
      <c r="O6" s="100">
        <f>IFERROR('Total crown'!O3*1000000/Population!W$2,0)</f>
        <v>12401.372057042001</v>
      </c>
      <c r="P6" s="100">
        <f>IFERROR('Total crown'!P3*1000000/Population!X$2,0)</f>
        <v>13087.053420679409</v>
      </c>
      <c r="Q6" s="100">
        <f>IFERROR('Total crown'!Q3*1000000/Population!Y$2,0)</f>
        <v>13499.597533311602</v>
      </c>
      <c r="R6" s="100">
        <f>IFERROR('Total crown'!R3*1000000/Population!Z$2,0)</f>
        <v>14373.062068215198</v>
      </c>
      <c r="S6" s="100">
        <f>IFERROR('Total crown'!S3*1000000/Population!AA$2,0)</f>
        <v>0</v>
      </c>
      <c r="T6" s="100"/>
      <c r="U6" s="100"/>
      <c r="V6" s="100"/>
      <c r="W6" s="100"/>
      <c r="X6" s="100"/>
      <c r="Y6" s="100"/>
    </row>
    <row r="7" spans="1:25" s="102" customFormat="1" x14ac:dyDescent="0.25">
      <c r="A7" s="99" t="str">
        <f>+'Total crown'!A4</f>
        <v>Other revenue</v>
      </c>
      <c r="B7" s="100">
        <f>IFERROR('Total crown'!B4*1000000/Population!J$2,0)</f>
        <v>2036.3410155071385</v>
      </c>
      <c r="C7" s="100">
        <f>IFERROR('Total crown'!C4*1000000/Population!K$2,0)</f>
        <v>1964.0009113693325</v>
      </c>
      <c r="D7" s="100">
        <f>IFERROR('Total crown'!D4*1000000/Population!L$2,0)</f>
        <v>2155.5337900220206</v>
      </c>
      <c r="E7" s="100">
        <f>IFERROR('Total crown'!E4*1000000/Population!M$2,0)</f>
        <v>3477.9437113741683</v>
      </c>
      <c r="F7" s="100">
        <f>IFERROR('Total crown'!F4*1000000/Population!N$2,0)</f>
        <v>4177.9684909532471</v>
      </c>
      <c r="G7" s="100">
        <f>IFERROR('Total crown'!G4*1000000/Population!O$2,0)</f>
        <v>4095.1395001264632</v>
      </c>
      <c r="H7" s="100">
        <f>IFERROR('Total crown'!H4*1000000/Population!P$2,0)</f>
        <v>4476.8862333389779</v>
      </c>
      <c r="I7" s="100">
        <f>IFERROR('Total crown'!I4*1000000/Population!Q$2,0)</f>
        <v>4511.2710084284636</v>
      </c>
      <c r="J7" s="100">
        <f>IFERROR('Total crown'!J4*1000000/Population!R$2,0)</f>
        <v>5069.0600540737623</v>
      </c>
      <c r="K7" s="100">
        <f>IFERROR('Total crown'!K4*1000000/Population!S$2,0)</f>
        <v>5836.7275074828331</v>
      </c>
      <c r="L7" s="100">
        <f>IFERROR('Total crown'!L4*1000000/Population!T$2,0)</f>
        <v>5826.7229738366887</v>
      </c>
      <c r="M7" s="100">
        <f>IFERROR('Total crown'!M4*1000000/Population!U$2,0)</f>
        <v>5497.7739060880276</v>
      </c>
      <c r="N7" s="100">
        <f>IFERROR('Total crown'!N4*1000000/Population!V$2,0)</f>
        <v>6862.2732363588257</v>
      </c>
      <c r="O7" s="100">
        <f>IFERROR('Total crown'!O4*1000000/Population!W$2,0)</f>
        <v>6506.6084691854321</v>
      </c>
      <c r="P7" s="100">
        <f>IFERROR('Total crown'!P4*1000000/Population!X$2,0)</f>
        <v>6343.1710227144822</v>
      </c>
      <c r="Q7" s="100">
        <f>IFERROR('Total crown'!Q4*1000000/Population!Y$2,0)</f>
        <v>6279.8108073947433</v>
      </c>
      <c r="R7" s="100">
        <f>IFERROR('Total crown'!R4*1000000/Population!Z$2,0)</f>
        <v>6301.0390034270795</v>
      </c>
      <c r="S7" s="100">
        <f>IFERROR('Total crown'!S4*1000000/Population!AA$2,0)</f>
        <v>0</v>
      </c>
      <c r="T7" s="100"/>
      <c r="U7" s="100"/>
      <c r="V7" s="100"/>
      <c r="W7" s="100"/>
      <c r="X7" s="100"/>
      <c r="Y7" s="100"/>
    </row>
    <row r="8" spans="1:25" s="102" customFormat="1" x14ac:dyDescent="0.25">
      <c r="A8" s="99" t="str">
        <f>+'Total crown'!A5</f>
        <v>Total Revenue</v>
      </c>
      <c r="B8" s="100">
        <f>IFERROR('Total crown'!B5*1000000/Population!J$2,0)</f>
        <v>10420.998521178437</v>
      </c>
      <c r="C8" s="100">
        <f>IFERROR('Total crown'!C5*1000000/Population!K$2,0)</f>
        <v>10786.615422606599</v>
      </c>
      <c r="D8" s="100">
        <f>IFERROR('Total crown'!D5*1000000/Population!L$2,0)</f>
        <v>11622.355075938784</v>
      </c>
      <c r="E8" s="100">
        <f>IFERROR('Total crown'!E5*1000000/Population!M$2,0)</f>
        <v>12649.781117984272</v>
      </c>
      <c r="F8" s="100">
        <f>IFERROR('Total crown'!F5*1000000/Population!N$2,0)</f>
        <v>14057.040799256782</v>
      </c>
      <c r="G8" s="100">
        <f>IFERROR('Total crown'!G5*1000000/Population!O$2,0)</f>
        <v>14500.521763123406</v>
      </c>
      <c r="H8" s="100">
        <f>IFERROR('Total crown'!H5*1000000/Population!P$2,0)</f>
        <v>15755.339993710541</v>
      </c>
      <c r="I8" s="100">
        <f>IFERROR('Total crown'!I5*1000000/Population!Q$2,0)</f>
        <v>17012.017788908459</v>
      </c>
      <c r="J8" s="100">
        <f>IFERROR('Total crown'!J5*1000000/Population!R$2,0)</f>
        <v>17602.145904457062</v>
      </c>
      <c r="K8" s="100">
        <f>IFERROR('Total crown'!K5*1000000/Population!S$2,0)</f>
        <v>19070.36797934151</v>
      </c>
      <c r="L8" s="100">
        <f>IFERROR('Total crown'!L5*1000000/Population!T$2,0)</f>
        <v>18411.003604805479</v>
      </c>
      <c r="M8" s="100">
        <f>IFERROR('Total crown'!M5*1000000/Population!U$2,0)</f>
        <v>17070.014503513252</v>
      </c>
      <c r="N8" s="100">
        <f>IFERROR('Total crown'!N5*1000000/Population!V$2,0)</f>
        <v>18524.761802658322</v>
      </c>
      <c r="O8" s="100">
        <f>IFERROR('Total crown'!O5*1000000/Population!W$2,0)</f>
        <v>18907.980526227431</v>
      </c>
      <c r="P8" s="100">
        <f>IFERROR('Total crown'!P5*1000000/Population!X$2,0)</f>
        <v>19430.22444339389</v>
      </c>
      <c r="Q8" s="100">
        <f>IFERROR('Total crown'!Q5*1000000/Population!Y$2,0)</f>
        <v>19779.408340706344</v>
      </c>
      <c r="R8" s="100">
        <f>IFERROR('Total crown'!R5*1000000/Population!Z$2,0)</f>
        <v>20674.101071642279</v>
      </c>
      <c r="S8" s="100">
        <f>IFERROR('Total crown'!S5*1000000/Population!AA$2,0)</f>
        <v>0</v>
      </c>
      <c r="T8" s="100"/>
      <c r="U8" s="100"/>
      <c r="V8" s="100"/>
      <c r="W8" s="100"/>
      <c r="X8" s="100"/>
      <c r="Y8" s="100"/>
    </row>
    <row r="9" spans="1:25" s="102" customFormat="1" x14ac:dyDescent="0.25">
      <c r="A9" s="99" t="str">
        <f>+'Total crown'!A6</f>
        <v>Expenses</v>
      </c>
      <c r="B9" s="100">
        <f>IFERROR('Total crown'!B6*1000000/Population!J$2,0)</f>
        <v>10387.622598777458</v>
      </c>
      <c r="C9" s="100">
        <f>IFERROR('Total crown'!C6*1000000/Population!K$2,0)</f>
        <v>10632.746537001185</v>
      </c>
      <c r="D9" s="100">
        <f>IFERROR('Total crown'!D6*1000000/Population!L$2,0)</f>
        <v>11256.02857162233</v>
      </c>
      <c r="E9" s="100">
        <f>IFERROR('Total crown'!E6*1000000/Population!M$2,0)</f>
        <v>12023.919337561327</v>
      </c>
      <c r="F9" s="100">
        <f>IFERROR('Total crown'!F6*1000000/Population!N$2,0)</f>
        <v>12972.936957878155</v>
      </c>
      <c r="G9" s="100">
        <f>IFERROR('Total crown'!G6*1000000/Population!O$2,0)</f>
        <v>13137.067903796187</v>
      </c>
      <c r="H9" s="100">
        <f>IFERROR('Total crown'!H6*1000000/Population!P$2,0)</f>
        <v>14044.122983139408</v>
      </c>
      <c r="I9" s="100">
        <f>IFERROR('Total crown'!I6*1000000/Population!Q$2,0)</f>
        <v>15317.483266143005</v>
      </c>
      <c r="J9" s="100">
        <f>IFERROR('Total crown'!J6*1000000/Population!R$2,0)</f>
        <v>16214.789315933767</v>
      </c>
      <c r="K9" s="100">
        <f>IFERROR('Total crown'!K6*1000000/Population!S$2,0)</f>
        <v>17747.050883267799</v>
      </c>
      <c r="L9" s="100">
        <f>IFERROR('Total crown'!L6*1000000/Population!T$2,0)</f>
        <v>19315.807455509355</v>
      </c>
      <c r="M9" s="100">
        <f>IFERROR('Total crown'!M6*1000000/Population!U$2,0)</f>
        <v>18521.515076988144</v>
      </c>
      <c r="N9" s="100">
        <f>IFERROR('Total crown'!N6*1000000/Population!V$2,0)</f>
        <v>22720.958400718984</v>
      </c>
      <c r="O9" s="100">
        <f>IFERROR('Total crown'!O6*1000000/Population!W$2,0)</f>
        <v>21004.17878484022</v>
      </c>
      <c r="P9" s="100">
        <f>IFERROR('Total crown'!P6*1000000/Population!X$2,0)</f>
        <v>20409.941244006211</v>
      </c>
      <c r="Q9" s="100">
        <f>IFERROR('Total crown'!Q6*1000000/Population!Y$2,0)</f>
        <v>20365.479667116808</v>
      </c>
      <c r="R9" s="100">
        <f>IFERROR('Total crown'!R6*1000000/Population!Z$2,0)</f>
        <v>20512.865147146822</v>
      </c>
      <c r="S9" s="100">
        <f>IFERROR('Total crown'!S6*1000000/Population!AA$2,0)</f>
        <v>0</v>
      </c>
      <c r="T9" s="100"/>
      <c r="U9" s="100"/>
      <c r="V9" s="100"/>
      <c r="W9" s="100"/>
      <c r="X9" s="100"/>
      <c r="Y9" s="100"/>
    </row>
    <row r="10" spans="1:25" s="102" customFormat="1" x14ac:dyDescent="0.25">
      <c r="A10" s="99" t="s">
        <v>91</v>
      </c>
      <c r="B10" s="100">
        <f>+B8-B9</f>
        <v>33.375922400979107</v>
      </c>
      <c r="C10" s="100">
        <f t="shared" ref="C10:S10" si="0">+C8-C9</f>
        <v>153.86888560541411</v>
      </c>
      <c r="D10" s="100">
        <f t="shared" si="0"/>
        <v>366.32650431645379</v>
      </c>
      <c r="E10" s="100">
        <f t="shared" si="0"/>
        <v>625.86178042294523</v>
      </c>
      <c r="F10" s="100">
        <f t="shared" si="0"/>
        <v>1084.1038413786264</v>
      </c>
      <c r="G10" s="100">
        <f t="shared" si="0"/>
        <v>1363.4538593272191</v>
      </c>
      <c r="H10" s="100">
        <f t="shared" si="0"/>
        <v>1711.2170105711321</v>
      </c>
      <c r="I10" s="100">
        <f t="shared" si="0"/>
        <v>1694.5345227654543</v>
      </c>
      <c r="J10" s="100">
        <f t="shared" si="0"/>
        <v>1387.3565885232947</v>
      </c>
      <c r="K10" s="100">
        <f t="shared" si="0"/>
        <v>1323.3170960737116</v>
      </c>
      <c r="L10" s="100">
        <f t="shared" si="0"/>
        <v>-904.80385070387638</v>
      </c>
      <c r="M10" s="100">
        <f t="shared" si="0"/>
        <v>-1451.500573474892</v>
      </c>
      <c r="N10" s="100">
        <f t="shared" si="0"/>
        <v>-4196.1965980606619</v>
      </c>
      <c r="O10" s="100">
        <f t="shared" si="0"/>
        <v>-2096.1982586127888</v>
      </c>
      <c r="P10" s="100">
        <f t="shared" si="0"/>
        <v>-979.71680061232109</v>
      </c>
      <c r="Q10" s="100">
        <f t="shared" si="0"/>
        <v>-586.07132641046337</v>
      </c>
      <c r="R10" s="100">
        <f t="shared" si="0"/>
        <v>161.23592449545686</v>
      </c>
      <c r="S10" s="100">
        <f t="shared" si="0"/>
        <v>0</v>
      </c>
      <c r="T10" s="100"/>
      <c r="U10" s="100"/>
      <c r="V10" s="100"/>
      <c r="W10" s="100"/>
      <c r="X10" s="100"/>
      <c r="Y10" s="100"/>
    </row>
    <row r="11" spans="1:25" s="102" customFormat="1" x14ac:dyDescent="0.25">
      <c r="A11" s="99"/>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row>
    <row r="12" spans="1:25" s="102" customFormat="1" x14ac:dyDescent="0.25">
      <c r="A12" s="99"/>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row>
    <row r="13" spans="1:25" s="102" customFormat="1" x14ac:dyDescent="0.25">
      <c r="A13" s="99"/>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row>
    <row r="14" spans="1:25" s="102" customFormat="1" x14ac:dyDescent="0.25">
      <c r="A14" s="99"/>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row>
    <row r="15" spans="1:25" x14ac:dyDescent="0.25">
      <c r="A15" s="99"/>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row>
    <row r="16" spans="1:25" x14ac:dyDescent="0.25">
      <c r="M16" s="103"/>
      <c r="N16" s="103"/>
      <c r="O16" s="103"/>
      <c r="P16" s="103"/>
      <c r="Q16" s="103"/>
      <c r="R16" s="103"/>
      <c r="S16" s="103"/>
      <c r="T16" s="103"/>
      <c r="U16" s="103"/>
      <c r="V16" s="103"/>
      <c r="W16" s="103"/>
      <c r="X16" s="103"/>
    </row>
    <row r="17" spans="1:25" x14ac:dyDescent="0.25">
      <c r="M17" s="103"/>
      <c r="N17" s="103"/>
      <c r="O17" s="103"/>
      <c r="P17" s="103"/>
      <c r="Q17" s="103"/>
      <c r="R17" s="103"/>
      <c r="S17" s="103"/>
      <c r="T17" s="103"/>
      <c r="U17" s="103"/>
      <c r="V17" s="103"/>
      <c r="W17" s="103"/>
      <c r="X17" s="103"/>
    </row>
    <row r="18" spans="1:25" x14ac:dyDescent="0.25">
      <c r="M18" s="103"/>
      <c r="N18" s="103"/>
      <c r="O18" s="103"/>
      <c r="P18" s="103"/>
      <c r="Q18" s="103"/>
      <c r="R18" s="103"/>
      <c r="S18" s="103"/>
      <c r="T18" s="103"/>
      <c r="U18" s="103"/>
      <c r="V18" s="103"/>
      <c r="W18" s="103"/>
      <c r="X18" s="103"/>
    </row>
    <row r="19" spans="1:25" x14ac:dyDescent="0.25">
      <c r="A19" s="104"/>
      <c r="M19" s="103"/>
      <c r="N19" s="103"/>
      <c r="O19" s="103"/>
      <c r="P19" s="103"/>
      <c r="Q19" s="103"/>
      <c r="R19" s="103"/>
      <c r="S19" s="103"/>
      <c r="T19" s="103"/>
      <c r="U19" s="103"/>
      <c r="V19" s="103"/>
      <c r="W19" s="103"/>
      <c r="X19" s="103"/>
    </row>
    <row r="20" spans="1:25" x14ac:dyDescent="0.25">
      <c r="M20" s="103"/>
      <c r="N20" s="103"/>
      <c r="O20" s="103"/>
      <c r="P20" s="103"/>
      <c r="Q20" s="103"/>
      <c r="R20" s="103"/>
      <c r="S20" s="103"/>
      <c r="T20" s="103"/>
      <c r="U20" s="103"/>
      <c r="V20" s="103"/>
      <c r="W20" s="103"/>
      <c r="X20" s="103"/>
    </row>
    <row r="22" spans="1:25" x14ac:dyDescent="0.25">
      <c r="A22" s="104"/>
      <c r="Q22" s="103"/>
    </row>
    <row r="23" spans="1:25" x14ac:dyDescent="0.25">
      <c r="A23" s="104"/>
      <c r="V23" s="103"/>
    </row>
    <row r="24" spans="1:25" x14ac:dyDescent="0.25">
      <c r="A24" s="104"/>
      <c r="N24" s="103"/>
      <c r="O24" s="103"/>
      <c r="P24" s="103"/>
      <c r="V24" s="103"/>
    </row>
    <row r="26" spans="1:25" x14ac:dyDescent="0.25">
      <c r="N26" s="103"/>
      <c r="O26" s="103"/>
      <c r="P26" s="103"/>
    </row>
    <row r="27" spans="1:25" x14ac:dyDescent="0.25">
      <c r="N27" s="103"/>
      <c r="O27" s="103"/>
      <c r="P27" s="103"/>
    </row>
    <row r="28" spans="1:25" x14ac:dyDescent="0.25">
      <c r="N28" s="103"/>
      <c r="O28" s="103"/>
      <c r="P28" s="103"/>
    </row>
    <row r="29" spans="1:25" x14ac:dyDescent="0.25">
      <c r="N29" s="103"/>
      <c r="O29" s="103"/>
      <c r="P29" s="103"/>
    </row>
    <row r="30" spans="1:25" x14ac:dyDescent="0.25">
      <c r="N30" s="103"/>
      <c r="O30" s="103"/>
      <c r="P30" s="103"/>
    </row>
    <row r="31" spans="1:25" x14ac:dyDescent="0.25">
      <c r="A31" s="86" t="s">
        <v>52</v>
      </c>
      <c r="N31" s="103"/>
      <c r="O31" s="103"/>
      <c r="P31" s="103"/>
    </row>
    <row r="32" spans="1:25" x14ac:dyDescent="0.25">
      <c r="A32" s="189" t="s">
        <v>86</v>
      </c>
      <c r="B32" s="88">
        <v>34121</v>
      </c>
      <c r="C32" s="89">
        <v>34486</v>
      </c>
      <c r="D32" s="89">
        <v>34851</v>
      </c>
      <c r="E32" s="89">
        <v>35217</v>
      </c>
      <c r="F32" s="89">
        <v>35582</v>
      </c>
      <c r="G32" s="89">
        <v>35947</v>
      </c>
      <c r="H32" s="89">
        <v>36312</v>
      </c>
      <c r="I32" s="89">
        <v>36678</v>
      </c>
      <c r="J32" s="89">
        <v>37043</v>
      </c>
      <c r="K32" s="89">
        <v>37408</v>
      </c>
      <c r="L32" s="89">
        <v>37773</v>
      </c>
      <c r="M32" s="89">
        <v>38139</v>
      </c>
      <c r="N32" s="89">
        <v>38504</v>
      </c>
      <c r="O32" s="89">
        <v>38869</v>
      </c>
      <c r="P32" s="89">
        <v>39234</v>
      </c>
      <c r="Q32" s="89">
        <v>39600</v>
      </c>
      <c r="R32" s="89">
        <v>39965</v>
      </c>
      <c r="S32" s="89">
        <v>40330</v>
      </c>
      <c r="T32" s="89"/>
      <c r="U32" s="89"/>
      <c r="V32" s="89"/>
      <c r="W32" s="89"/>
      <c r="X32" s="89"/>
      <c r="Y32" s="89"/>
    </row>
    <row r="33" spans="1:25" x14ac:dyDescent="0.25">
      <c r="A33" s="190"/>
      <c r="B33" s="92" t="s">
        <v>24</v>
      </c>
      <c r="C33" s="92" t="s">
        <v>24</v>
      </c>
      <c r="D33" s="92" t="s">
        <v>24</v>
      </c>
      <c r="E33" s="92" t="s">
        <v>24</v>
      </c>
      <c r="F33" s="92" t="s">
        <v>24</v>
      </c>
      <c r="G33" s="92" t="s">
        <v>24</v>
      </c>
      <c r="H33" s="92" t="s">
        <v>24</v>
      </c>
      <c r="I33" s="92" t="s">
        <v>24</v>
      </c>
      <c r="J33" s="92" t="s">
        <v>24</v>
      </c>
      <c r="K33" s="92" t="s">
        <v>24</v>
      </c>
      <c r="L33" s="92" t="s">
        <v>24</v>
      </c>
      <c r="M33" s="92" t="s">
        <v>24</v>
      </c>
      <c r="N33" s="92" t="s">
        <v>24</v>
      </c>
      <c r="O33" s="92" t="s">
        <v>24</v>
      </c>
      <c r="P33" s="92" t="s">
        <v>24</v>
      </c>
      <c r="Q33" s="92" t="s">
        <v>24</v>
      </c>
      <c r="R33" s="92" t="s">
        <v>24</v>
      </c>
      <c r="S33" s="92" t="s">
        <v>24</v>
      </c>
      <c r="T33" s="92"/>
      <c r="U33" s="92"/>
      <c r="V33" s="92"/>
      <c r="W33" s="92"/>
      <c r="X33" s="92"/>
      <c r="Y33" s="92"/>
    </row>
    <row r="34" spans="1:25" x14ac:dyDescent="0.25">
      <c r="A34" s="190"/>
      <c r="B34" s="92" t="s">
        <v>53</v>
      </c>
      <c r="C34" s="92" t="s">
        <v>53</v>
      </c>
      <c r="D34" s="92" t="s">
        <v>53</v>
      </c>
      <c r="E34" s="92" t="s">
        <v>53</v>
      </c>
      <c r="F34" s="92" t="s">
        <v>53</v>
      </c>
      <c r="G34" s="92" t="s">
        <v>53</v>
      </c>
      <c r="H34" s="92" t="s">
        <v>53</v>
      </c>
      <c r="I34" s="92" t="s">
        <v>53</v>
      </c>
      <c r="J34" s="92" t="s">
        <v>53</v>
      </c>
      <c r="K34" s="92" t="s">
        <v>53</v>
      </c>
      <c r="L34" s="92" t="s">
        <v>53</v>
      </c>
      <c r="M34" s="92" t="s">
        <v>53</v>
      </c>
      <c r="N34" s="92" t="s">
        <v>53</v>
      </c>
      <c r="O34" s="92" t="s">
        <v>53</v>
      </c>
      <c r="P34" s="92" t="s">
        <v>53</v>
      </c>
      <c r="Q34" s="92" t="s">
        <v>53</v>
      </c>
      <c r="R34" s="92" t="s">
        <v>53</v>
      </c>
      <c r="S34" s="92" t="s">
        <v>53</v>
      </c>
      <c r="T34" s="92"/>
      <c r="U34" s="92"/>
      <c r="V34" s="92"/>
      <c r="W34" s="92"/>
      <c r="X34" s="92"/>
      <c r="Y34" s="92"/>
    </row>
    <row r="35" spans="1:25" x14ac:dyDescent="0.25">
      <c r="A35" s="190"/>
      <c r="B35" s="92" t="s">
        <v>54</v>
      </c>
      <c r="C35" s="92" t="s">
        <v>54</v>
      </c>
      <c r="D35" s="92" t="s">
        <v>54</v>
      </c>
      <c r="E35" s="92" t="s">
        <v>54</v>
      </c>
      <c r="F35" s="92" t="s">
        <v>54</v>
      </c>
      <c r="G35" s="92" t="s">
        <v>54</v>
      </c>
      <c r="H35" s="92" t="s">
        <v>54</v>
      </c>
      <c r="I35" s="92" t="s">
        <v>54</v>
      </c>
      <c r="J35" s="92" t="s">
        <v>54</v>
      </c>
      <c r="K35" s="92" t="s">
        <v>54</v>
      </c>
      <c r="L35" s="92" t="s">
        <v>54</v>
      </c>
      <c r="M35" s="92" t="s">
        <v>54</v>
      </c>
      <c r="N35" s="92" t="s">
        <v>54</v>
      </c>
      <c r="O35" s="92" t="s">
        <v>54</v>
      </c>
      <c r="P35" s="92" t="s">
        <v>54</v>
      </c>
      <c r="Q35" s="92" t="s">
        <v>54</v>
      </c>
      <c r="R35" s="92" t="s">
        <v>54</v>
      </c>
      <c r="S35" s="92" t="s">
        <v>54</v>
      </c>
      <c r="T35" s="92"/>
      <c r="U35" s="92"/>
      <c r="V35" s="92"/>
      <c r="W35" s="92"/>
      <c r="X35" s="92"/>
      <c r="Y35" s="92"/>
    </row>
    <row r="36" spans="1:25" x14ac:dyDescent="0.25">
      <c r="A36" s="95"/>
      <c r="B36" s="96"/>
      <c r="C36" s="97"/>
      <c r="D36" s="97"/>
      <c r="E36" s="97"/>
      <c r="F36" s="97"/>
      <c r="G36" s="97"/>
      <c r="H36" s="97"/>
      <c r="I36" s="97"/>
      <c r="J36" s="97"/>
      <c r="K36" s="97"/>
      <c r="L36" s="97"/>
      <c r="M36" s="97"/>
      <c r="N36" s="97"/>
      <c r="O36" s="97"/>
      <c r="P36" s="97"/>
      <c r="Q36" s="97"/>
      <c r="R36" s="97"/>
      <c r="S36" s="97"/>
      <c r="T36" s="97"/>
      <c r="U36" s="97"/>
      <c r="V36" s="97"/>
      <c r="W36" s="97"/>
      <c r="X36" s="97"/>
      <c r="Y36" s="97"/>
    </row>
    <row r="37" spans="1:25" x14ac:dyDescent="0.25">
      <c r="A37" s="99" t="str">
        <f>+A6</f>
        <v>Tax revenue</v>
      </c>
      <c r="B37" s="105">
        <f t="shared" ref="B37:S37" si="1">+B6/52.1429</f>
        <v>160.8015186280644</v>
      </c>
      <c r="C37" s="105">
        <f t="shared" si="1"/>
        <v>169.20068717384851</v>
      </c>
      <c r="D37" s="105">
        <f t="shared" si="1"/>
        <v>181.55532749265507</v>
      </c>
      <c r="E37" s="105">
        <f t="shared" si="1"/>
        <v>175.89810705983186</v>
      </c>
      <c r="F37" s="105">
        <f t="shared" si="1"/>
        <v>189.46150498540618</v>
      </c>
      <c r="G37" s="105">
        <f t="shared" si="1"/>
        <v>199.55511225875321</v>
      </c>
      <c r="H37" s="105">
        <f t="shared" si="1"/>
        <v>216.29893543265837</v>
      </c>
      <c r="I37" s="105">
        <f t="shared" si="1"/>
        <v>239.74015216798443</v>
      </c>
      <c r="J37" s="105">
        <f t="shared" si="1"/>
        <v>240.36035299884162</v>
      </c>
      <c r="K37" s="105">
        <f t="shared" si="1"/>
        <v>253.79563606662992</v>
      </c>
      <c r="L37" s="105">
        <f t="shared" si="1"/>
        <v>241.34216990172757</v>
      </c>
      <c r="M37" s="105">
        <f t="shared" si="1"/>
        <v>221.93319890963534</v>
      </c>
      <c r="N37" s="105">
        <f t="shared" si="1"/>
        <v>223.66398045178721</v>
      </c>
      <c r="O37" s="105">
        <f t="shared" si="1"/>
        <v>237.83433712052843</v>
      </c>
      <c r="P37" s="105">
        <f t="shared" si="1"/>
        <v>250.98437986148468</v>
      </c>
      <c r="Q37" s="105">
        <f t="shared" si="1"/>
        <v>258.89617825843214</v>
      </c>
      <c r="R37" s="105">
        <f t="shared" si="1"/>
        <v>275.64753913217714</v>
      </c>
      <c r="S37" s="105">
        <f t="shared" si="1"/>
        <v>0</v>
      </c>
      <c r="T37" s="105"/>
      <c r="U37" s="105"/>
      <c r="V37" s="105"/>
      <c r="W37" s="105"/>
      <c r="X37" s="105"/>
      <c r="Y37" s="105"/>
    </row>
    <row r="38" spans="1:25" x14ac:dyDescent="0.25">
      <c r="A38" s="99" t="str">
        <f>+A7</f>
        <v>Other revenue</v>
      </c>
      <c r="B38" s="105">
        <f t="shared" ref="B38:S38" si="2">+B7/52.1429</f>
        <v>39.053083267465723</v>
      </c>
      <c r="C38" s="105">
        <f t="shared" si="2"/>
        <v>37.665739944831081</v>
      </c>
      <c r="D38" s="105">
        <f t="shared" si="2"/>
        <v>41.338970214967347</v>
      </c>
      <c r="E38" s="105">
        <f t="shared" si="2"/>
        <v>66.700235533009646</v>
      </c>
      <c r="F38" s="105">
        <f t="shared" si="2"/>
        <v>80.125357257713844</v>
      </c>
      <c r="G38" s="105">
        <f t="shared" si="2"/>
        <v>78.536857369391868</v>
      </c>
      <c r="H38" s="105">
        <f t="shared" si="2"/>
        <v>85.858021577990058</v>
      </c>
      <c r="I38" s="105">
        <f t="shared" si="2"/>
        <v>86.517455078801987</v>
      </c>
      <c r="J38" s="105">
        <f t="shared" si="2"/>
        <v>97.214770449548496</v>
      </c>
      <c r="K38" s="105">
        <f t="shared" si="2"/>
        <v>111.93714786639856</v>
      </c>
      <c r="L38" s="105">
        <f t="shared" si="2"/>
        <v>111.74528025554177</v>
      </c>
      <c r="M38" s="105">
        <f t="shared" si="2"/>
        <v>105.43667318250476</v>
      </c>
      <c r="N38" s="105">
        <f t="shared" si="2"/>
        <v>131.60513198074571</v>
      </c>
      <c r="O38" s="105">
        <f t="shared" si="2"/>
        <v>124.78416944944436</v>
      </c>
      <c r="P38" s="105">
        <f t="shared" si="2"/>
        <v>121.64975524404056</v>
      </c>
      <c r="Q38" s="105">
        <f t="shared" si="2"/>
        <v>120.43462882568372</v>
      </c>
      <c r="R38" s="105">
        <f t="shared" si="2"/>
        <v>120.84174457935941</v>
      </c>
      <c r="S38" s="105">
        <f t="shared" si="2"/>
        <v>0</v>
      </c>
      <c r="T38" s="105"/>
      <c r="U38" s="105"/>
      <c r="V38" s="105"/>
      <c r="W38" s="105"/>
      <c r="X38" s="105"/>
      <c r="Y38" s="105"/>
    </row>
    <row r="39" spans="1:25" x14ac:dyDescent="0.25">
      <c r="A39" s="99" t="str">
        <f>+A9</f>
        <v>Expenses</v>
      </c>
      <c r="B39" s="105">
        <f t="shared" ref="B39:S39" si="3">+B9/52.1429</f>
        <v>199.21451623859545</v>
      </c>
      <c r="C39" s="105">
        <f t="shared" si="3"/>
        <v>203.91551940918487</v>
      </c>
      <c r="D39" s="105">
        <f t="shared" si="3"/>
        <v>215.86886367314304</v>
      </c>
      <c r="E39" s="105">
        <f t="shared" si="3"/>
        <v>230.59552379252645</v>
      </c>
      <c r="F39" s="105">
        <f t="shared" si="3"/>
        <v>248.79584675724126</v>
      </c>
      <c r="G39" s="105">
        <f t="shared" si="3"/>
        <v>251.94356094110967</v>
      </c>
      <c r="H39" s="105">
        <f t="shared" si="3"/>
        <v>269.33912350750359</v>
      </c>
      <c r="I39" s="105">
        <f t="shared" si="3"/>
        <v>293.75971160297962</v>
      </c>
      <c r="J39" s="105">
        <f t="shared" si="3"/>
        <v>310.96830663299829</v>
      </c>
      <c r="K39" s="105">
        <f t="shared" si="3"/>
        <v>340.35412075791334</v>
      </c>
      <c r="L39" s="105">
        <f t="shared" si="3"/>
        <v>370.43983851127109</v>
      </c>
      <c r="M39" s="105">
        <f t="shared" si="3"/>
        <v>355.20684651195359</v>
      </c>
      <c r="N39" s="105">
        <f t="shared" si="3"/>
        <v>435.74404953922749</v>
      </c>
      <c r="O39" s="105">
        <f t="shared" si="3"/>
        <v>402.81953602197461</v>
      </c>
      <c r="P39" s="105">
        <f t="shared" si="3"/>
        <v>391.42320898926243</v>
      </c>
      <c r="Q39" s="105">
        <f t="shared" si="3"/>
        <v>390.57052191413999</v>
      </c>
      <c r="R39" s="105">
        <f t="shared" si="3"/>
        <v>393.39709044082366</v>
      </c>
      <c r="S39" s="105">
        <f t="shared" si="3"/>
        <v>0</v>
      </c>
      <c r="T39" s="105"/>
      <c r="U39" s="105"/>
      <c r="V39" s="105"/>
      <c r="W39" s="105"/>
      <c r="X39" s="105"/>
      <c r="Y39" s="105"/>
    </row>
    <row r="40" spans="1:25" x14ac:dyDescent="0.25">
      <c r="A40" s="99" t="str">
        <f>+A8</f>
        <v>Total Revenue</v>
      </c>
      <c r="B40" s="105">
        <f t="shared" ref="B40:S40" si="4">+B8/52.1429</f>
        <v>199.85460189553012</v>
      </c>
      <c r="C40" s="105">
        <f t="shared" si="4"/>
        <v>206.86642711867961</v>
      </c>
      <c r="D40" s="105">
        <f t="shared" si="4"/>
        <v>222.8942977076224</v>
      </c>
      <c r="E40" s="105">
        <f t="shared" si="4"/>
        <v>242.59834259284145</v>
      </c>
      <c r="F40" s="105">
        <f t="shared" si="4"/>
        <v>269.58686224311998</v>
      </c>
      <c r="G40" s="105">
        <f t="shared" si="4"/>
        <v>278.09196962814508</v>
      </c>
      <c r="H40" s="105">
        <f t="shared" si="4"/>
        <v>302.15695701064845</v>
      </c>
      <c r="I40" s="105">
        <f t="shared" si="4"/>
        <v>326.25760724678645</v>
      </c>
      <c r="J40" s="105">
        <f t="shared" si="4"/>
        <v>337.57512344839017</v>
      </c>
      <c r="K40" s="105">
        <f t="shared" si="4"/>
        <v>365.73278393302849</v>
      </c>
      <c r="L40" s="105">
        <f t="shared" si="4"/>
        <v>353.08745015726936</v>
      </c>
      <c r="M40" s="105">
        <f t="shared" si="4"/>
        <v>327.3698720921401</v>
      </c>
      <c r="N40" s="105">
        <f t="shared" si="4"/>
        <v>355.26911243253295</v>
      </c>
      <c r="O40" s="105">
        <f t="shared" si="4"/>
        <v>362.61850656997274</v>
      </c>
      <c r="P40" s="105">
        <f t="shared" si="4"/>
        <v>372.63413510552522</v>
      </c>
      <c r="Q40" s="105">
        <f t="shared" si="4"/>
        <v>379.33080708411586</v>
      </c>
      <c r="R40" s="105">
        <f t="shared" si="4"/>
        <v>396.48928371153659</v>
      </c>
      <c r="S40" s="105">
        <f t="shared" si="4"/>
        <v>0</v>
      </c>
      <c r="T40" s="105"/>
      <c r="U40" s="105"/>
      <c r="V40" s="105"/>
      <c r="W40" s="105"/>
      <c r="X40" s="105"/>
      <c r="Y40" s="105"/>
    </row>
    <row r="41" spans="1:25" x14ac:dyDescent="0.25">
      <c r="T41" s="105"/>
      <c r="U41" s="105"/>
      <c r="V41" s="105"/>
      <c r="W41" s="105"/>
      <c r="X41" s="105"/>
      <c r="Y41" s="105"/>
    </row>
    <row r="42" spans="1:25" x14ac:dyDescent="0.25">
      <c r="A42" s="99"/>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row>
    <row r="43" spans="1:25" x14ac:dyDescent="0.25">
      <c r="A43" s="99"/>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row>
    <row r="44" spans="1:25" x14ac:dyDescent="0.25">
      <c r="A44" s="99"/>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row>
    <row r="45" spans="1:25" x14ac:dyDescent="0.25">
      <c r="A45" s="99"/>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row>
  </sheetData>
  <mergeCells count="2">
    <mergeCell ref="A2:A4"/>
    <mergeCell ref="A32:A35"/>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R7"/>
  <sheetViews>
    <sheetView workbookViewId="0">
      <selection activeCell="B3" sqref="B3"/>
    </sheetView>
  </sheetViews>
  <sheetFormatPr defaultRowHeight="15" x14ac:dyDescent="0.25"/>
  <sheetData>
    <row r="1" spans="1:18" x14ac:dyDescent="0.25">
      <c r="A1" s="158" t="s">
        <v>86</v>
      </c>
      <c r="B1" s="158"/>
      <c r="C1" s="158"/>
      <c r="D1" s="158"/>
      <c r="E1" s="158"/>
      <c r="F1" s="158"/>
      <c r="G1" s="158"/>
      <c r="H1" s="158"/>
      <c r="I1" s="158"/>
      <c r="J1" s="158"/>
      <c r="K1" s="158"/>
      <c r="L1" s="158"/>
      <c r="M1" s="158"/>
      <c r="N1" s="158"/>
      <c r="O1" s="158"/>
      <c r="P1" s="158"/>
      <c r="Q1" s="158"/>
      <c r="R1" s="158"/>
    </row>
    <row r="2" spans="1:18" x14ac:dyDescent="0.25">
      <c r="A2" s="158"/>
      <c r="B2" s="115">
        <f>+'Nominal per person (Total)'!B2</f>
        <v>36312</v>
      </c>
      <c r="C2" s="115">
        <f>+'Nominal per person (Total)'!C2</f>
        <v>36678</v>
      </c>
      <c r="D2" s="115">
        <f>+'Nominal per person (Total)'!D2</f>
        <v>37043</v>
      </c>
      <c r="E2" s="115">
        <f>+'Nominal per person (Total)'!E2</f>
        <v>37408</v>
      </c>
      <c r="F2" s="115">
        <f>+'Nominal per person (Total)'!F2</f>
        <v>37773</v>
      </c>
      <c r="G2" s="115">
        <f>+'Nominal per person (Total)'!G2</f>
        <v>38139</v>
      </c>
      <c r="H2" s="115">
        <f>+'Nominal per person (Total)'!H2</f>
        <v>38504</v>
      </c>
      <c r="I2" s="115">
        <f>+'Nominal per person (Total)'!I2</f>
        <v>38869</v>
      </c>
      <c r="J2" s="115">
        <f>+'Nominal per person (Total)'!J2</f>
        <v>39234</v>
      </c>
      <c r="K2" s="115">
        <f>+'Nominal per person (Total)'!K2</f>
        <v>39600</v>
      </c>
      <c r="L2" s="115">
        <f>+'Nominal per person (Total)'!L2</f>
        <v>39965</v>
      </c>
      <c r="M2" s="115">
        <f>+'Nominal per person (Total)'!M2</f>
        <v>40330</v>
      </c>
      <c r="N2" s="115">
        <f>+'Nominal per person (Total)'!N2</f>
        <v>40695</v>
      </c>
      <c r="O2" s="115">
        <f>+'Nominal per person (Total)'!O2</f>
        <v>41061</v>
      </c>
      <c r="P2" s="115">
        <f>+'Nominal per person (Total)'!P2</f>
        <v>41426</v>
      </c>
      <c r="Q2" s="115">
        <f>+'Nominal per person (Total)'!Q2</f>
        <v>41791</v>
      </c>
      <c r="R2" s="115">
        <f>+'Nominal per person (Total)'!R2</f>
        <v>42156</v>
      </c>
    </row>
    <row r="3" spans="1:18" x14ac:dyDescent="0.25">
      <c r="A3" s="158" t="s">
        <v>87</v>
      </c>
      <c r="B3" s="158">
        <f>+'Total crown'!B3/Inflation!H$3</f>
        <v>46381.814422727082</v>
      </c>
      <c r="C3" s="158">
        <f>+'Total crown'!C3/Inflation!I$3</f>
        <v>48129.494090184933</v>
      </c>
      <c r="D3" s="158">
        <f>+'Total crown'!D3/Inflation!J$3</f>
        <v>50320.99375771264</v>
      </c>
      <c r="E3" s="158">
        <f>+'Total crown'!E3/Inflation!K$3</f>
        <v>48277.741238792245</v>
      </c>
      <c r="F3" s="158">
        <f>+'Total crown'!F3/Inflation!L$3</f>
        <v>52264.010953998972</v>
      </c>
      <c r="G3" s="158">
        <f>+'Total crown'!G3/Inflation!M$3</f>
        <v>54580.210680721117</v>
      </c>
      <c r="H3" s="158">
        <f>+'Total crown'!H3/Inflation!N$3</f>
        <v>58158.835758835761</v>
      </c>
      <c r="I3" s="158">
        <f>+'Total crown'!I3/Inflation!O$3</f>
        <v>62773.2</v>
      </c>
      <c r="J3" s="158">
        <f>+'Total crown'!J3/Inflation!P$3</f>
        <v>62280</v>
      </c>
      <c r="K3" s="158">
        <f>+'Total crown'!K3/Inflation!Q$3</f>
        <v>63757.210179076341</v>
      </c>
      <c r="L3" s="158">
        <f>+'Total crown'!L3/Inflation!R$3</f>
        <v>60105.457909343197</v>
      </c>
      <c r="M3" s="158">
        <f>+'Total crown'!M3/Inflation!S$3</f>
        <v>54973.976342129208</v>
      </c>
      <c r="N3" s="158">
        <f>+'Total crown'!N3/Inflation!T$3</f>
        <v>53028.176318063961</v>
      </c>
      <c r="O3" s="158">
        <f>+'Total crown'!O3/Inflation!U$3</f>
        <v>56162.67123287671</v>
      </c>
      <c r="P3" s="158">
        <f>+'Total crown'!P3/Inflation!V$3</f>
        <v>59320.408163265311</v>
      </c>
      <c r="Q3" s="158">
        <f>+'Total crown'!Q3/Inflation!W$3</f>
        <v>61133.723849372385</v>
      </c>
      <c r="R3" s="158">
        <f>+'Total crown'!R3/Inflation!X$3</f>
        <v>66055</v>
      </c>
    </row>
    <row r="4" spans="1:18" x14ac:dyDescent="0.25">
      <c r="A4" s="158" t="s">
        <v>88</v>
      </c>
      <c r="B4" s="158">
        <f>+'Total crown'!B4/Inflation!H$3</f>
        <v>11264.525834091044</v>
      </c>
      <c r="C4" s="158">
        <f>+'Total crown'!C4/Inflation!I$3</f>
        <v>10714.099560450128</v>
      </c>
      <c r="D4" s="158">
        <f>+'Total crown'!D4/Inflation!J$3</f>
        <v>11457.763817047984</v>
      </c>
      <c r="E4" s="158">
        <f>+'Total crown'!E4/Inflation!K$3</f>
        <v>18306.829820140156</v>
      </c>
      <c r="F4" s="158">
        <f>+'Total crown'!F4/Inflation!L$3</f>
        <v>22103.025887674674</v>
      </c>
      <c r="G4" s="158">
        <f>+'Total crown'!G4/Inflation!M$3</f>
        <v>21480.573325853893</v>
      </c>
      <c r="H4" s="158">
        <f>+'Total crown'!H4/Inflation!N$3</f>
        <v>23085.654885654887</v>
      </c>
      <c r="I4" s="158">
        <f>+'Total crown'!I4/Inflation!O$3</f>
        <v>22653.599999999999</v>
      </c>
      <c r="J4" s="158">
        <f>+'Total crown'!J4/Inflation!P$3</f>
        <v>25189.411764705885</v>
      </c>
      <c r="K4" s="158">
        <f>+'Total crown'!K4/Inflation!Q$3</f>
        <v>28120.263901979266</v>
      </c>
      <c r="L4" s="158">
        <f>+'Total crown'!L4/Inflation!R$3</f>
        <v>27829.787234042553</v>
      </c>
      <c r="M4" s="158">
        <f>+'Total crown'!M4/Inflation!S$3</f>
        <v>26117.197452229299</v>
      </c>
      <c r="N4" s="158">
        <f>+'Total crown'!N4/Inflation!T$3</f>
        <v>31202.074330164218</v>
      </c>
      <c r="O4" s="158">
        <f>+'Total crown'!O4/Inflation!U$3</f>
        <v>29466.780821917808</v>
      </c>
      <c r="P4" s="158">
        <f>+'Total crown'!P4/Inflation!V$3</f>
        <v>28752.040816326531</v>
      </c>
      <c r="Q4" s="158">
        <f>+'Total crown'!Q4/Inflation!W$3</f>
        <v>28438.493723849373</v>
      </c>
      <c r="R4" s="158">
        <f>+'Total crown'!R4/Inflation!X$3</f>
        <v>28958</v>
      </c>
    </row>
    <row r="5" spans="1:18" x14ac:dyDescent="0.25">
      <c r="A5" s="158" t="s">
        <v>89</v>
      </c>
      <c r="B5" s="158">
        <f>+'Total crown'!B5/Inflation!H$3</f>
        <v>57646.340256818126</v>
      </c>
      <c r="C5" s="158">
        <f>+'Total crown'!C5/Inflation!I$3</f>
        <v>58843.593650635063</v>
      </c>
      <c r="D5" s="158">
        <f>+'Total crown'!D5/Inflation!J$3</f>
        <v>61778.757574760624</v>
      </c>
      <c r="E5" s="158">
        <f>+'Total crown'!E5/Inflation!K$3</f>
        <v>66584.571058932401</v>
      </c>
      <c r="F5" s="158">
        <f>+'Total crown'!F5/Inflation!L$3</f>
        <v>74367.036841673646</v>
      </c>
      <c r="G5" s="158">
        <f>+'Total crown'!G5/Inflation!M$3</f>
        <v>76060.784006575006</v>
      </c>
      <c r="H5" s="158">
        <f>+'Total crown'!H5/Inflation!N$3</f>
        <v>81244.490644490652</v>
      </c>
      <c r="I5" s="158">
        <f>+'Total crown'!I5/Inflation!O$3</f>
        <v>85426.8</v>
      </c>
      <c r="J5" s="158">
        <f>+'Total crown'!J5/Inflation!P$3</f>
        <v>87469.411764705888</v>
      </c>
      <c r="K5" s="158">
        <f>+'Total crown'!K5/Inflation!Q$3</f>
        <v>91877.47408105561</v>
      </c>
      <c r="L5" s="158">
        <f>+'Total crown'!L5/Inflation!R$3</f>
        <v>87935.24514338575</v>
      </c>
      <c r="M5" s="158">
        <f>+'Total crown'!M5/Inflation!S$3</f>
        <v>81091.173794358503</v>
      </c>
      <c r="N5" s="158">
        <f>+'Total crown'!N5/Inflation!T$3</f>
        <v>84230.250648228175</v>
      </c>
      <c r="O5" s="158">
        <f>+'Total crown'!O5/Inflation!U$3</f>
        <v>85629.452054794514</v>
      </c>
      <c r="P5" s="158">
        <f>+'Total crown'!P5/Inflation!V$3</f>
        <v>88072.448979591834</v>
      </c>
      <c r="Q5" s="158">
        <f>+'Total crown'!Q5/Inflation!W$3</f>
        <v>89572.217573221758</v>
      </c>
      <c r="R5" s="158">
        <f>+'Total crown'!R5/Inflation!X$3</f>
        <v>95013</v>
      </c>
    </row>
    <row r="6" spans="1:18" x14ac:dyDescent="0.25">
      <c r="A6" s="158" t="s">
        <v>90</v>
      </c>
      <c r="B6" s="158">
        <f>+'Total crown'!B6/Inflation!H$3</f>
        <v>57461.713056727662</v>
      </c>
      <c r="C6" s="158">
        <f>+'Total crown'!C6/Inflation!I$3</f>
        <v>58004.20169817283</v>
      </c>
      <c r="D6" s="158">
        <f>+'Total crown'!D6/Inflation!J$3</f>
        <v>59831.544969784547</v>
      </c>
      <c r="E6" s="158">
        <f>+'Total crown'!E6/Inflation!K$3</f>
        <v>63290.22645304865</v>
      </c>
      <c r="F6" s="158">
        <f>+'Total crown'!F6/Inflation!L$3</f>
        <v>68631.719468456169</v>
      </c>
      <c r="G6" s="158">
        <f>+'Total crown'!G6/Inflation!M$3</f>
        <v>68908.946907791847</v>
      </c>
      <c r="H6" s="158">
        <f>+'Total crown'!H6/Inflation!N$3</f>
        <v>72420.374220374229</v>
      </c>
      <c r="I6" s="158">
        <f>+'Total crown'!I6/Inflation!O$3</f>
        <v>76917.599999999991</v>
      </c>
      <c r="J6" s="158">
        <f>+'Total crown'!J6/Inflation!P$3</f>
        <v>80575.294117647063</v>
      </c>
      <c r="K6" s="158">
        <f>+'Total crown'!K6/Inflation!Q$3</f>
        <v>85501.979264844485</v>
      </c>
      <c r="L6" s="158">
        <f>+'Total crown'!L6/Inflation!R$3</f>
        <v>92256.799259944499</v>
      </c>
      <c r="M6" s="158">
        <f>+'Total crown'!M6/Inflation!S$3</f>
        <v>87986.533212010909</v>
      </c>
      <c r="N6" s="158">
        <f>+'Total crown'!N6/Inflation!T$3</f>
        <v>103309.93949870355</v>
      </c>
      <c r="O6" s="158">
        <f>+'Total crown'!O6/Inflation!U$3</f>
        <v>95122.602739726019</v>
      </c>
      <c r="P6" s="158">
        <f>+'Total crown'!P6/Inflation!V$3</f>
        <v>92513.265306122456</v>
      </c>
      <c r="Q6" s="158">
        <f>+'Total crown'!Q6/Inflation!W$3</f>
        <v>92226.276150627615</v>
      </c>
      <c r="R6" s="158">
        <f>+'Total crown'!R6/Inflation!X$3</f>
        <v>94272</v>
      </c>
    </row>
    <row r="7" spans="1:18" x14ac:dyDescent="0.25">
      <c r="A7" s="158" t="s">
        <v>91</v>
      </c>
      <c r="B7" s="158">
        <f>+'Total crown'!B7/Inflation!H$3</f>
        <v>184.62720009046731</v>
      </c>
      <c r="C7" s="158">
        <f>+'Total crown'!C7/Inflation!I$3</f>
        <v>839.39195246223176</v>
      </c>
      <c r="D7" s="158">
        <f>+'Total crown'!D7/Inflation!J$3</f>
        <v>1947.2126049760777</v>
      </c>
      <c r="E7" s="158">
        <f>+'Total crown'!E7/Inflation!K$3</f>
        <v>3294.344605883753</v>
      </c>
      <c r="F7" s="158">
        <f>+'Total crown'!F7/Inflation!L$3</f>
        <v>5735.3173732174773</v>
      </c>
      <c r="G7" s="158">
        <f>+'Total crown'!G7/Inflation!M$3</f>
        <v>7151.8370987831695</v>
      </c>
      <c r="H7" s="158">
        <f>+'Total crown'!H7/Inflation!N$3</f>
        <v>8824.1164241164242</v>
      </c>
      <c r="I7" s="158">
        <f>+'Total crown'!I7/Inflation!O$3</f>
        <v>8509.1999999999989</v>
      </c>
      <c r="J7" s="158">
        <f>+'Total crown'!J7/Inflation!P$3</f>
        <v>6894.1176470588234</v>
      </c>
      <c r="K7" s="158">
        <f>+'Total crown'!K7/Inflation!Q$3</f>
        <v>6375.4948162111214</v>
      </c>
      <c r="L7" s="158">
        <f>+'Total crown'!L7/Inflation!R$3</f>
        <v>-4321.554116558742</v>
      </c>
      <c r="M7" s="158">
        <f>+'Total crown'!M7/Inflation!S$3</f>
        <v>-6895.3594176524111</v>
      </c>
      <c r="N7" s="158">
        <f>+'Total crown'!N7/Inflation!T$3</f>
        <v>-19079.68885047537</v>
      </c>
      <c r="O7" s="158">
        <f>+'Total crown'!O7/Inflation!U$3</f>
        <v>-9493.1506849315065</v>
      </c>
      <c r="P7" s="158">
        <f>+'Total crown'!P7/Inflation!V$3</f>
        <v>-4504.0816326530658</v>
      </c>
      <c r="Q7" s="158">
        <f>+'Total crown'!Q7/Inflation!W$3</f>
        <v>-2945.2719665272257</v>
      </c>
      <c r="R7" s="158">
        <f>+'Total crown'!R7/Inflation!X$3</f>
        <v>414.00000000001387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Excel Workbook" ma:contentTypeID="0x010100F369549A17A5474C80B2D0D18F9A7A3601010500EDE12648E327D44D9FED5AFEC1743E01" ma:contentTypeVersion="12" ma:contentTypeDescription="" ma:contentTypeScope="" ma:versionID="59e78a8c565d8b28b53132211e92b330">
  <xsd:schema xmlns:xsd="http://www.w3.org/2001/XMLSchema" xmlns:xs="http://www.w3.org/2001/XMLSchema" xmlns:p="http://schemas.microsoft.com/office/2006/metadata/properties" xmlns:ns1="http://schemas.microsoft.com/sharepoint/v3" xmlns:ns2="a4a9da2b-6e79-4644-bb2a-b556bc2d250b" xmlns:ns3="4cef84be-d13d-4d81-b00a-eac6814b3f5c" targetNamespace="http://schemas.microsoft.com/office/2006/metadata/properties" ma:root="true" ma:fieldsID="1ec5e57a8b620f1f4ad275d666fc3372" ns1:_="" ns2:_="" ns3:_="">
    <xsd:import namespace="http://schemas.microsoft.com/sharepoint/v3"/>
    <xsd:import namespace="a4a9da2b-6e79-4644-bb2a-b556bc2d250b"/>
    <xsd:import namespace="4cef84be-d13d-4d81-b00a-eac6814b3f5c"/>
    <xsd:element name="properties">
      <xsd:complexType>
        <xsd:sequence>
          <xsd:element name="documentManagement">
            <xsd:complexType>
              <xsd:all>
                <xsd:element ref="ns2:_dlc_DocId" minOccurs="0"/>
                <xsd:element ref="ns2:_dlc_DocIdUrl" minOccurs="0"/>
                <xsd:element ref="ns2:_dlc_DocIdPersistId" minOccurs="0"/>
                <xsd:element ref="ns2:Client"/>
                <xsd:element ref="ns1:DocumentSetDescription" minOccurs="0"/>
                <xsd:element ref="ns2:Project_x0020_Type"/>
                <xsd:element ref="ns2:Job_x0020_No." minOccurs="0"/>
                <xsd:element ref="ns2:Status"/>
                <xsd:element ref="ns2:Job_x0020_Category"/>
                <xsd:element ref="ns2:Link_x0020_to_x0020_Proposal" minOccurs="0"/>
                <xsd:element ref="ns2:Link_x0020_to_x0020_Related_x0020_2" minOccurs="0"/>
                <xsd:element ref="ns2:Link_x0020_to_x0020_Related" minOccurs="0"/>
                <xsd:element ref="ns2:Link_x0020_to_x0020_WFMax" minOccurs="0"/>
                <xsd:element ref="ns3:Job_x0020_Completed" minOccurs="0"/>
                <xsd:element ref="ns3:Job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2" nillable="true" ma:displayName="Description" ma:description="A brief description of the project." ma:internalName="DocumentSet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a9da2b-6e79-4644-bb2a-b556bc2d250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ient" ma:index="11" ma:displayName="Client" ma:list="{ff2f405b-a035-44c4-a178-1718bfa8aa97}" ma:internalName="Client" ma:readOnly="false" ma:showField="Title" ma:web="a4a9da2b-6e79-4644-bb2a-b556bc2d250b">
      <xsd:simpleType>
        <xsd:restriction base="dms:Lookup"/>
      </xsd:simpleType>
    </xsd:element>
    <xsd:element name="Project_x0020_Type" ma:index="13" ma:displayName="Project Type" ma:list="{02d9e4bb-d6ed-480a-961d-9440d9511bca}" ma:internalName="Project_x0020_Type1" ma:readOnly="false" ma:showField="Title" ma:web="a4a9da2b-6e79-4644-bb2a-b556bc2d250b">
      <xsd:simpleType>
        <xsd:restriction base="dms:Lookup"/>
      </xsd:simpleType>
    </xsd:element>
    <xsd:element name="Job_x0020_No." ma:index="14" nillable="true" ma:displayName="Job No." ma:internalName="Job_x0020_No_x002e_">
      <xsd:simpleType>
        <xsd:restriction base="dms:Text">
          <xsd:maxLength value="255"/>
        </xsd:restriction>
      </xsd:simpleType>
    </xsd:element>
    <xsd:element name="Status" ma:index="15" ma:displayName="Status" ma:list="{74b819d4-2584-4509-be9d-341e1d21fcbd}" ma:internalName="Status" ma:readOnly="false" ma:showField="Title" ma:web="a4a9da2b-6e79-4644-bb2a-b556bc2d250b">
      <xsd:simpleType>
        <xsd:restriction base="dms:Lookup"/>
      </xsd:simpleType>
    </xsd:element>
    <xsd:element name="Job_x0020_Category" ma:index="16" ma:displayName="Job Category" ma:list="{973fbdb0-c863-433e-9d8d-86d71a2e9171}" ma:internalName="Job_x0020_Category" ma:readOnly="false" ma:showField="Title" ma:web="a4a9da2b-6e79-4644-bb2a-b556bc2d250b">
      <xsd:simpleType>
        <xsd:restriction base="dms:Lookup"/>
      </xsd:simpleType>
    </xsd:element>
    <xsd:element name="Link_x0020_to_x0020_Proposal" ma:index="17" nillable="true" ma:displayName="Link to NZIER Library Archive" ma:format="Hyperlink" ma:internalName="Link_x0020_to_x0020_Proposal0"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ink_x0020_to_x0020_Related_x0020_2" ma:index="18" nillable="true" ma:displayName="Link to Related 2" ma:format="Hyperlink" ma:internalName="Link_x0020_to_x0020_Related_x0020_2">
      <xsd:complexType>
        <xsd:complexContent>
          <xsd:extension base="dms:URL">
            <xsd:sequence>
              <xsd:element name="Url" type="dms:ValidUrl" minOccurs="0" nillable="true"/>
              <xsd:element name="Description" type="xsd:string" nillable="true"/>
            </xsd:sequence>
          </xsd:extension>
        </xsd:complexContent>
      </xsd:complexType>
    </xsd:element>
    <xsd:element name="Link_x0020_to_x0020_Related" ma:index="19" nillable="true" ma:displayName="Link to Related 1" ma:format="Hyperlink" ma:internalName="Link_x0020_to_x0020_Related">
      <xsd:complexType>
        <xsd:complexContent>
          <xsd:extension base="dms:URL">
            <xsd:sequence>
              <xsd:element name="Url" type="dms:ValidUrl" minOccurs="0" nillable="true"/>
              <xsd:element name="Description" type="xsd:string" nillable="true"/>
            </xsd:sequence>
          </xsd:extension>
        </xsd:complexContent>
      </xsd:complexType>
    </xsd:element>
    <xsd:element name="Link_x0020_to_x0020_WFMax" ma:index="20" nillable="true" ma:displayName="Link to WFMax" ma:format="Hyperlink" ma:internalName="Link_x0020_to_x0020_WFMax">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ef84be-d13d-4d81-b00a-eac6814b3f5c" elementFormDefault="qualified">
    <xsd:import namespace="http://schemas.microsoft.com/office/2006/documentManagement/types"/>
    <xsd:import namespace="http://schemas.microsoft.com/office/infopath/2007/PartnerControls"/>
    <xsd:element name="Job_x0020_Completed" ma:index="21" nillable="true" ma:displayName="Date Completed" ma:format="DateOnly" ma:internalName="Job_x0020_Completed">
      <xsd:simpleType>
        <xsd:restriction base="dms:DateTime"/>
      </xsd:simpleType>
    </xsd:element>
    <xsd:element name="Job_x0020_Created" ma:index="22" nillable="true" ma:displayName="Date Created" ma:default="[today]" ma:format="DateOnly" ma:internalName="Job_x0020_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Job_x0020_Completed xmlns="4cef84be-d13d-4d81-b00a-eac6814b3f5c" xsi:nil="true"/>
    <DocumentSetDescription xmlns="http://schemas.microsoft.com/sharepoint/v3" xsi:nil="true"/>
    <Project_x0020_Type xmlns="a4a9da2b-6e79-4644-bb2a-b556bc2d250b">1</Project_x0020_Type>
    <Job_x0020_Category xmlns="a4a9da2b-6e79-4644-bb2a-b556bc2d250b">5</Job_x0020_Category>
    <Link_x0020_to_x0020_Proposal xmlns="a4a9da2b-6e79-4644-bb2a-b556bc2d250b">
      <Url xsi:nil="true"/>
      <Description xsi:nil="true"/>
    </Link_x0020_to_x0020_Proposal>
    <Client xmlns="a4a9da2b-6e79-4644-bb2a-b556bc2d250b">50</Client>
    <Job_x0020_No. xmlns="a4a9da2b-6e79-4644-bb2a-b556bc2d250b">0799</Job_x0020_No.>
    <Link_x0020_to_x0020_WFMax xmlns="a4a9da2b-6e79-4644-bb2a-b556bc2d250b">
      <Url xsi:nil="true"/>
      <Description xsi:nil="true"/>
    </Link_x0020_to_x0020_WFMax>
    <Job_x0020_Created xmlns="4cef84be-d13d-4d81-b00a-eac6814b3f5c">2017-05-24T08:40:13+00:00</Job_x0020_Created>
    <Status xmlns="a4a9da2b-6e79-4644-bb2a-b556bc2d250b">5</Status>
    <Link_x0020_to_x0020_Related_x0020_2 xmlns="a4a9da2b-6e79-4644-bb2a-b556bc2d250b">
      <Url xsi:nil="true"/>
      <Description xsi:nil="true"/>
    </Link_x0020_to_x0020_Related_x0020_2>
    <Link_x0020_to_x0020_Related xmlns="a4a9da2b-6e79-4644-bb2a-b556bc2d250b">
      <Url xsi:nil="true"/>
      <Description xsi:nil="true"/>
    </Link_x0020_to_x0020_Related>
  </documentManagement>
</p:properties>
</file>

<file path=customXml/itemProps1.xml><?xml version="1.0" encoding="utf-8"?>
<ds:datastoreItem xmlns:ds="http://schemas.openxmlformats.org/officeDocument/2006/customXml" ds:itemID="{F022F2D3-5678-4900-A2E4-164B492D2443}">
  <ds:schemaRefs>
    <ds:schemaRef ds:uri="http://schemas.microsoft.com/sharepoint/v3/contenttype/forms"/>
  </ds:schemaRefs>
</ds:datastoreItem>
</file>

<file path=customXml/itemProps2.xml><?xml version="1.0" encoding="utf-8"?>
<ds:datastoreItem xmlns:ds="http://schemas.openxmlformats.org/officeDocument/2006/customXml" ds:itemID="{40A73BAE-DE30-43AF-BAE4-233ECA245408}">
  <ds:schemaRefs>
    <ds:schemaRef ds:uri="http://schemas.microsoft.com/sharepoint/events"/>
  </ds:schemaRefs>
</ds:datastoreItem>
</file>

<file path=customXml/itemProps3.xml><?xml version="1.0" encoding="utf-8"?>
<ds:datastoreItem xmlns:ds="http://schemas.openxmlformats.org/officeDocument/2006/customXml" ds:itemID="{182CE096-1D55-43F5-BAEF-AF6F228D6F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a9da2b-6e79-4644-bb2a-b556bc2d250b"/>
    <ds:schemaRef ds:uri="4cef84be-d13d-4d81-b00a-eac6814b3f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5CC2FAE-9CED-47B5-A27D-002B3A2EE206}">
  <ds:schemaRefs>
    <ds:schemaRef ds:uri="http://schemas.openxmlformats.org/package/2006/metadata/core-properties"/>
    <ds:schemaRef ds:uri="http://purl.org/dc/terms/"/>
    <ds:schemaRef ds:uri="http://purl.org/dc/dcmitype/"/>
    <ds:schemaRef ds:uri="http://purl.org/dc/elements/1.1/"/>
    <ds:schemaRef ds:uri="http://schemas.microsoft.com/office/infopath/2007/PartnerControls"/>
    <ds:schemaRef ds:uri="http://schemas.microsoft.com/office/2006/metadata/properties"/>
    <ds:schemaRef ds:uri="a4a9da2b-6e79-4644-bb2a-b556bc2d250b"/>
    <ds:schemaRef ds:uri="http://schemas.microsoft.com/office/2006/documentManagement/types"/>
    <ds:schemaRef ds:uri="4cef84be-d13d-4d81-b00a-eac6814b3f5c"/>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Aggregated expenditure (Core)</vt:lpstr>
      <vt:lpstr>Nominal per person (Core)</vt:lpstr>
      <vt:lpstr>Real (Core)</vt:lpstr>
      <vt:lpstr>Real per person (Core)</vt:lpstr>
      <vt:lpstr>Growth rate (Core)</vt:lpstr>
      <vt:lpstr>Super, edu and Welfare analysis</vt:lpstr>
      <vt:lpstr>Total crown</vt:lpstr>
      <vt:lpstr>Nominal per person (Total)</vt:lpstr>
      <vt:lpstr>Real (total)</vt:lpstr>
      <vt:lpstr>Real per person (Total)</vt:lpstr>
      <vt:lpstr>Growth rate (Total)</vt:lpstr>
      <vt:lpstr>Population</vt:lpstr>
      <vt:lpstr>Inflation</vt:lpstr>
      <vt:lpstr>NZ SUPER</vt:lpstr>
      <vt:lpstr>Core Crown Expenditure 93-16</vt:lpstr>
      <vt:lpstr>Education numbers</vt:lpstr>
      <vt:lpstr>Numbers on benefits</vt:lpstr>
      <vt:lpstr>Welfare Benefit Expenses 98-16</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 Gamperle</dc:creator>
  <cp:lastModifiedBy>Toby Moore</cp:lastModifiedBy>
  <cp:revision/>
  <dcterms:created xsi:type="dcterms:W3CDTF">2017-05-23T22:07:48Z</dcterms:created>
  <dcterms:modified xsi:type="dcterms:W3CDTF">2017-05-31T01:54:09Z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0x010100F369549A17A5474C80B2D0D18F9A7A3601010500EDE12648E327D44D9FED5AFEC1743E01</vt:lpwstr>
  </property>
</Properties>
</file>